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tabRatio="753" activeTab="6"/>
  </bookViews>
  <sheets>
    <sheet name="RH" sheetId="1" r:id="rId1"/>
    <sheet name="Depreciação" sheetId="2" r:id="rId2"/>
    <sheet name="Dados p  Result." sheetId="3" r:id="rId3"/>
    <sheet name="Rateio" sheetId="4" r:id="rId4"/>
    <sheet name="Previsão" sheetId="5" r:id="rId5"/>
    <sheet name="Estrutura de Resultados" sheetId="6" r:id="rId6"/>
    <sheet name="Mão de Obra" sheetId="7" r:id="rId7"/>
    <sheet name="Mascara" sheetId="8" r:id="rId8"/>
  </sheets>
  <definedNames>
    <definedName name="_xlnm.Print_Area" localSheetId="2">'Dados p  Result.'!$B$2:$O$90</definedName>
    <definedName name="Payment_Needed">"Pagamento necessário"</definedName>
    <definedName name="Reimbursement">"Reembolso"</definedName>
  </definedNames>
  <calcPr fullCalcOnLoad="1"/>
</workbook>
</file>

<file path=xl/comments1.xml><?xml version="1.0" encoding="utf-8"?>
<comments xmlns="http://schemas.openxmlformats.org/spreadsheetml/2006/main">
  <authors>
    <author>*</author>
    <author>Caoa</author>
    <author>Vendas</author>
  </authors>
  <commentList>
    <comment ref="K2" authorId="0">
      <text>
        <r>
          <rPr>
            <b/>
            <sz val="9"/>
            <color indexed="12"/>
            <rFont val="Arial"/>
            <family val="2"/>
          </rPr>
          <t>Provisão de Férias + Adicional 1/3  dividido por 12</t>
        </r>
      </text>
    </comment>
    <comment ref="N2" authorId="1">
      <text>
        <r>
          <rPr>
            <b/>
            <sz val="9"/>
            <color indexed="12"/>
            <rFont val="Tahoma"/>
            <family val="2"/>
          </rPr>
          <t>Provisão 13ª 
divido por 12 meses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sz val="9"/>
            <color indexed="12"/>
            <rFont val="Tahoma"/>
            <family val="2"/>
          </rPr>
          <t xml:space="preserve">Provisão  Multa 
Recisória FGTS </t>
        </r>
        <r>
          <rPr>
            <sz val="8"/>
            <rFont val="Tahoma"/>
            <family val="0"/>
          </rPr>
          <t xml:space="preserve">
</t>
        </r>
      </text>
    </comment>
    <comment ref="R2" authorId="1">
      <text>
        <r>
          <rPr>
            <b/>
            <sz val="9"/>
            <color indexed="12"/>
            <rFont val="Tahoma"/>
            <family val="2"/>
          </rPr>
          <t>Horas 
 ( 22 dias / 8h)</t>
        </r>
      </text>
    </comment>
    <comment ref="E6" authorId="2">
      <text>
        <r>
          <rPr>
            <b/>
            <sz val="8"/>
            <rFont val="Tahoma"/>
            <family val="0"/>
          </rPr>
          <t>60% EXPEDIÇÃO
40% CORTE</t>
        </r>
      </text>
    </comment>
    <comment ref="E5" authorId="2">
      <text>
        <r>
          <rPr>
            <b/>
            <sz val="8"/>
            <rFont val="Tahoma"/>
            <family val="0"/>
          </rPr>
          <t>70% EMPATAÇÃO
30% REPUXO</t>
        </r>
      </text>
    </comment>
    <comment ref="D42" authorId="2">
      <text>
        <r>
          <rPr>
            <b/>
            <sz val="8"/>
            <rFont val="Tahoma"/>
            <family val="0"/>
          </rPr>
          <t>PRODUÇÃO</t>
        </r>
      </text>
    </comment>
    <comment ref="D43" authorId="2">
      <text>
        <r>
          <rPr>
            <b/>
            <sz val="8"/>
            <rFont val="Tahoma"/>
            <family val="0"/>
          </rPr>
          <t>PRODUÇÃO</t>
        </r>
      </text>
    </comment>
  </commentList>
</comments>
</file>

<file path=xl/comments3.xml><?xml version="1.0" encoding="utf-8"?>
<comments xmlns="http://schemas.openxmlformats.org/spreadsheetml/2006/main">
  <authors>
    <author>*</author>
  </authors>
  <commentList>
    <comment ref="B61" authorId="0">
      <text>
        <r>
          <rPr>
            <b/>
            <sz val="11"/>
            <color indexed="12"/>
            <rFont val="Arial"/>
            <family val="2"/>
          </rPr>
          <t>R$ 94,00 Vitaflex até 24/03/07
R$ 366,71 Asthi até 22/01/07</t>
        </r>
      </text>
    </comment>
    <comment ref="B73" authorId="0">
      <text>
        <r>
          <rPr>
            <b/>
            <sz val="10"/>
            <color indexed="12"/>
            <rFont val="Arial"/>
            <family val="2"/>
          </rPr>
          <t>DEBITO BRADESCO EM OUTUBRO ESTAMOS NA 15 ª PARCELA FALTA CONFIRMAR QUANTAS FALTAM ECONTRATO PARA CONFIRMAR COMPRA ESTOU NO AGUARDA MARCIA/BRADESCO.</t>
        </r>
      </text>
    </comment>
    <comment ref="B59" authorId="0">
      <text>
        <r>
          <rPr>
            <b/>
            <sz val="11"/>
            <color indexed="12"/>
            <rFont val="Arial"/>
            <family val="2"/>
          </rPr>
          <t>Uno R$ 130,33                    até 06/12/06
Pick up R$ 419,00              até 10/10/06      
Hilux R$ 000,00                   até 00/00/00
Corsa Sedan R$160,80      até 14/08/07</t>
        </r>
      </text>
    </comment>
    <comment ref="B60" authorId="0">
      <text>
        <r>
          <rPr>
            <b/>
            <sz val="12"/>
            <color indexed="12"/>
            <rFont val="Arial"/>
            <family val="2"/>
          </rPr>
          <t>Verificar com Santander quantas faltam</t>
        </r>
      </text>
    </comment>
    <comment ref="B83" authorId="0">
      <text>
        <r>
          <rPr>
            <b/>
            <sz val="10"/>
            <color indexed="12"/>
            <rFont val="Arial"/>
            <family val="2"/>
          </rPr>
          <t>CredGiro Santander
Valor R$ 130.000,00 24 parcelas pagas 16 em 10/06 taxa mensal de 2,19% ate´junho /07</t>
        </r>
        <r>
          <rPr>
            <sz val="8"/>
            <rFont val="Tahoma"/>
            <family val="0"/>
          </rPr>
          <t xml:space="preserve">
</t>
        </r>
      </text>
    </comment>
    <comment ref="B84" authorId="0">
      <text>
        <r>
          <rPr>
            <b/>
            <sz val="10"/>
            <color indexed="12"/>
            <rFont val="Arial"/>
            <family val="2"/>
          </rPr>
          <t>CONFIRMAR QUANTIDADE DE PARCELAS POSSÍVELMENTE EM 12 VEZES</t>
        </r>
        <r>
          <rPr>
            <b/>
            <sz val="8"/>
            <color indexed="12"/>
            <rFont val="Tahoma"/>
            <family val="0"/>
          </rPr>
          <t xml:space="preserve"> TODO DIA 25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Sergio M. Fontes</author>
  </authors>
  <commentList>
    <comment ref="B13" authorId="0">
      <text>
        <r>
          <rPr>
            <b/>
            <sz val="8"/>
            <rFont val="Tahoma"/>
            <family val="2"/>
          </rPr>
          <t>Gastos efetuados diretamente ao produto, mão de Obra direta, Manutenção...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Gastos onde mesmo que não haja  vendas deverão se pagos, aluguel, contador, seguros, mão de obra Adm, material de escritório. </t>
        </r>
      </text>
    </comment>
  </commentList>
</comments>
</file>

<file path=xl/sharedStrings.xml><?xml version="1.0" encoding="utf-8"?>
<sst xmlns="http://schemas.openxmlformats.org/spreadsheetml/2006/main" count="432" uniqueCount="241">
  <si>
    <t>DESPESAS VARIÁVEIS</t>
  </si>
  <si>
    <t>DESPESAS FIXAS</t>
  </si>
  <si>
    <t>LUCRO OPERACIONAL</t>
  </si>
  <si>
    <t>PRÓ LABORE</t>
  </si>
  <si>
    <t>INVESTIMENTOS</t>
  </si>
  <si>
    <t>TOTAL</t>
  </si>
  <si>
    <t>CUSTOS FIXOS</t>
  </si>
  <si>
    <t>DÍVIDAS ANTERIORES</t>
  </si>
  <si>
    <t>EMPRÉSTIMOS</t>
  </si>
  <si>
    <t>Fretes</t>
  </si>
  <si>
    <t>Imposto de Renda</t>
  </si>
  <si>
    <t>Comissões</t>
  </si>
  <si>
    <t>Telefone</t>
  </si>
  <si>
    <t>Aluguel</t>
  </si>
  <si>
    <t>Pró</t>
  </si>
  <si>
    <t>Agua</t>
  </si>
  <si>
    <t>Luz</t>
  </si>
  <si>
    <t>CPD</t>
  </si>
  <si>
    <t>PCMSO</t>
  </si>
  <si>
    <t>Eng Seg Trab.</t>
  </si>
  <si>
    <t>CUSTO VARIÁVEL</t>
  </si>
  <si>
    <t>Folha de Pagto Produção</t>
  </si>
  <si>
    <t>Refeição</t>
  </si>
  <si>
    <t>Refeição Produção</t>
  </si>
  <si>
    <t>Manutenção Produção</t>
  </si>
  <si>
    <t>DESCRIÇÃO</t>
  </si>
  <si>
    <t>TOTAL DE SAÍDAS</t>
  </si>
  <si>
    <t>Vale Transporte</t>
  </si>
  <si>
    <t>Seguro patrimonial</t>
  </si>
  <si>
    <t>DESLIGAMENTO SÓCIO</t>
  </si>
  <si>
    <t>OUTRAS  DESPESAS</t>
  </si>
  <si>
    <t>Corte</t>
  </si>
  <si>
    <t>Repuxo</t>
  </si>
  <si>
    <t>CNC</t>
  </si>
  <si>
    <t>Montagem de engates</t>
  </si>
  <si>
    <t>Soda Terminais</t>
  </si>
  <si>
    <t>Fabricação de Mangueias</t>
  </si>
  <si>
    <t>Empatação</t>
  </si>
  <si>
    <t>NOME</t>
  </si>
  <si>
    <t>INSS</t>
  </si>
  <si>
    <t>FGTS</t>
  </si>
  <si>
    <t>P. Saúde</t>
  </si>
  <si>
    <t>Vale</t>
  </si>
  <si>
    <t>Provisão</t>
  </si>
  <si>
    <t>INSS-Férias</t>
  </si>
  <si>
    <t>FGTS-Férias</t>
  </si>
  <si>
    <t>INSS-13ª</t>
  </si>
  <si>
    <t>FGTS- 13ª</t>
  </si>
  <si>
    <t>Total</t>
  </si>
  <si>
    <t>Horas</t>
  </si>
  <si>
    <t>Transp</t>
  </si>
  <si>
    <t>13ª Sal</t>
  </si>
  <si>
    <t>por Func</t>
  </si>
  <si>
    <t>Total Produção</t>
  </si>
  <si>
    <t>Provisão Férias +1/3</t>
  </si>
  <si>
    <t>Provisão INSS Férias</t>
  </si>
  <si>
    <t>Provisão FGTS Férias</t>
  </si>
  <si>
    <t xml:space="preserve">Provisão de 13º </t>
  </si>
  <si>
    <t>Provisão INSS 13º</t>
  </si>
  <si>
    <t>Provisão FGTS 13º</t>
  </si>
  <si>
    <t>Depreciação  Maq. Produtiva</t>
  </si>
  <si>
    <t>Insumos</t>
  </si>
  <si>
    <t>Materia Prima</t>
  </si>
  <si>
    <t>Folha de Pagto Administração</t>
  </si>
  <si>
    <t>VENDAS BRUTA</t>
  </si>
  <si>
    <r>
      <t xml:space="preserve">Impostos </t>
    </r>
    <r>
      <rPr>
        <b/>
        <sz val="11"/>
        <rFont val="Arial"/>
        <family val="2"/>
      </rPr>
      <t xml:space="preserve"> ICMS</t>
    </r>
  </si>
  <si>
    <r>
      <t xml:space="preserve">Impostos </t>
    </r>
    <r>
      <rPr>
        <b/>
        <sz val="11"/>
        <rFont val="Arial"/>
        <family val="2"/>
      </rPr>
      <t xml:space="preserve"> IPI</t>
    </r>
  </si>
  <si>
    <r>
      <t xml:space="preserve">Impostos </t>
    </r>
    <r>
      <rPr>
        <b/>
        <sz val="11"/>
        <rFont val="Arial"/>
        <family val="2"/>
      </rPr>
      <t xml:space="preserve"> PIS/Cofins</t>
    </r>
  </si>
  <si>
    <t>Deprecição</t>
  </si>
  <si>
    <t>VENDA LÍQUIDA</t>
  </si>
  <si>
    <t>TOTAL DE DESPESAS</t>
  </si>
  <si>
    <t>RESULTADO FINAL</t>
  </si>
  <si>
    <t>Máquinas</t>
  </si>
  <si>
    <t>PREMISSAS</t>
  </si>
  <si>
    <t>Participação</t>
  </si>
  <si>
    <t>Rateio Desp. Fixas</t>
  </si>
  <si>
    <t>Mão de obra hora</t>
  </si>
  <si>
    <t>Despesas Fixas</t>
  </si>
  <si>
    <t>Custo Hora Maquina</t>
  </si>
  <si>
    <t>ATIVIDADES</t>
  </si>
  <si>
    <t>R$</t>
  </si>
  <si>
    <t>Tempo min.</t>
  </si>
  <si>
    <t>Acabamento / Expedição</t>
  </si>
  <si>
    <t>Nº de Funcionários</t>
  </si>
  <si>
    <t>Cont. Social</t>
  </si>
  <si>
    <t>M.BC</t>
  </si>
  <si>
    <t>Média Faturamento</t>
  </si>
  <si>
    <t>Combustível Veículos</t>
  </si>
  <si>
    <t>Seguro Veículos/patrimonial</t>
  </si>
  <si>
    <t>Seguro de Vida Funcionarios</t>
  </si>
  <si>
    <t>TOTAL GERAL</t>
  </si>
  <si>
    <t>Férias+1/3</t>
  </si>
  <si>
    <t>Part</t>
  </si>
  <si>
    <t>JANEIRO</t>
  </si>
  <si>
    <t>Real</t>
  </si>
  <si>
    <t>Previsao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</si>
  <si>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</si>
  <si>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</si>
  <si>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</si>
  <si>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</si>
  <si>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</si>
  <si>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</si>
  <si>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</si>
  <si>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</si>
  <si>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</si>
  <si>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</si>
  <si>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</si>
  <si>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Meta  de Vendas </t>
  </si>
  <si>
    <t>Previsão p/ Faturamento</t>
  </si>
  <si>
    <t>Margem de Contrib.</t>
  </si>
  <si>
    <t>Total Deso-Custos Fixo e Var</t>
  </si>
  <si>
    <t>ESTRUTURA DE RESULTADOS - 2007</t>
  </si>
  <si>
    <t>CMV = Custo Variável</t>
  </si>
  <si>
    <t>IMPOSTOS = Desp Vari</t>
  </si>
  <si>
    <t>CSLL E IRPJ</t>
  </si>
  <si>
    <t>Despesas de Frete</t>
  </si>
  <si>
    <t>Crédito de Impostos</t>
  </si>
  <si>
    <t>Setor Prod.</t>
  </si>
  <si>
    <t>THIAGO</t>
  </si>
  <si>
    <t>ENCARREGADO</t>
  </si>
  <si>
    <t>PCP</t>
  </si>
  <si>
    <t>MANGUEIRA</t>
  </si>
  <si>
    <t>TORNO</t>
  </si>
  <si>
    <t>EXPEDIÇÃO</t>
  </si>
  <si>
    <t>MONT ENG</t>
  </si>
  <si>
    <t>EMPATAÇÃO</t>
  </si>
  <si>
    <t>SOLDA</t>
  </si>
  <si>
    <t>SÁLARIO</t>
  </si>
  <si>
    <t>CORTE</t>
  </si>
  <si>
    <t>AJ. FABRICA</t>
  </si>
  <si>
    <t>RECEPÇÃO</t>
  </si>
  <si>
    <t>FINANCEIRO</t>
  </si>
  <si>
    <t>ADM</t>
  </si>
  <si>
    <t>VENDAS INT</t>
  </si>
  <si>
    <t>VENDAS EXT</t>
  </si>
  <si>
    <t>CONTADOR</t>
  </si>
  <si>
    <t>LIMPEZA</t>
  </si>
  <si>
    <t>FATURAM</t>
  </si>
  <si>
    <t>ALMOX/COMPRAS</t>
  </si>
  <si>
    <t>SANCIL</t>
  </si>
  <si>
    <t>REPUXO</t>
  </si>
  <si>
    <t>TIPO REGISTRO</t>
  </si>
  <si>
    <t>SEM REGISTRO</t>
  </si>
  <si>
    <t>Plano de Saúde Sancil</t>
  </si>
  <si>
    <t>Refeição Administrativo</t>
  </si>
  <si>
    <t>Produção</t>
  </si>
  <si>
    <t>Valor</t>
  </si>
  <si>
    <t>Depreciação</t>
  </si>
  <si>
    <t>Torno 1</t>
  </si>
  <si>
    <t>Torno 2</t>
  </si>
  <si>
    <t>Torno 3</t>
  </si>
  <si>
    <t>Solda</t>
  </si>
  <si>
    <t>Valor
Máquina</t>
  </si>
  <si>
    <t>Prensa 1</t>
  </si>
  <si>
    <t>Prensa 2</t>
  </si>
  <si>
    <t>Mangueira</t>
  </si>
  <si>
    <t>Serra</t>
  </si>
  <si>
    <t>Furadeira</t>
  </si>
  <si>
    <t>Outros</t>
  </si>
  <si>
    <t>Depreciação 
Anual</t>
  </si>
  <si>
    <t>Depreciação 
Mensal</t>
  </si>
  <si>
    <t>Anos
a depreciar</t>
  </si>
  <si>
    <t>Administrativo</t>
  </si>
  <si>
    <t>Computadores</t>
  </si>
  <si>
    <t>P R E V I S Ã O      O R Ç A M E N T O   2 0 0 8 / 2 0 0 9</t>
  </si>
  <si>
    <t>Leasing 8550231</t>
  </si>
  <si>
    <t>Leasing 8550238</t>
  </si>
  <si>
    <t>Capital Giro Bradesco</t>
  </si>
  <si>
    <t>Conta Garantida bradesco</t>
  </si>
  <si>
    <t>Vida e Previdencia</t>
  </si>
  <si>
    <t>Capital Giro Banco do Brasil</t>
  </si>
  <si>
    <t>Vivo empresa</t>
  </si>
  <si>
    <t>Consorcios</t>
  </si>
  <si>
    <t>Outras Despesas</t>
  </si>
  <si>
    <t>Torno</t>
  </si>
  <si>
    <t>Manutenção</t>
  </si>
  <si>
    <t>Máquina</t>
  </si>
  <si>
    <t>Insumo</t>
  </si>
  <si>
    <t>Sálario</t>
  </si>
  <si>
    <t>Sálario ADM</t>
  </si>
  <si>
    <t>Despesas</t>
  </si>
  <si>
    <t xml:space="preserve">    CUSTO DE  MÃO DE OBRA</t>
  </si>
  <si>
    <t>R E V E N D A</t>
  </si>
  <si>
    <t xml:space="preserve">    CUSTO DE MATERIAIS</t>
  </si>
  <si>
    <t xml:space="preserve">     CUSTO TOTAL</t>
  </si>
  <si>
    <t xml:space="preserve">      MARGEM DE CONTRIB.</t>
  </si>
  <si>
    <t>PREÇO DE VENDA</t>
  </si>
  <si>
    <t>ITEM 1</t>
  </si>
  <si>
    <t>ITEM 2</t>
  </si>
  <si>
    <t>TOTAL MÃO DE OBRA</t>
  </si>
  <si>
    <t>ANÁLISE DE RENTABILIDADE</t>
  </si>
  <si>
    <t>Fatores</t>
  </si>
  <si>
    <t>(+)</t>
  </si>
  <si>
    <t>Fat. Bruto</t>
  </si>
  <si>
    <t>(-)</t>
  </si>
  <si>
    <t xml:space="preserve">Impostos </t>
  </si>
  <si>
    <t>(=)</t>
  </si>
  <si>
    <t>Fat. Líq.</t>
  </si>
  <si>
    <t>Comissão</t>
  </si>
  <si>
    <t>CMV</t>
  </si>
  <si>
    <t>M.B.</t>
  </si>
  <si>
    <t>Custo Administrativo</t>
  </si>
  <si>
    <t>M.Líquida</t>
  </si>
  <si>
    <t>MATERIAIS</t>
  </si>
  <si>
    <t>R$/UN.</t>
  </si>
  <si>
    <t xml:space="preserve">QDE </t>
  </si>
  <si>
    <t>MATERIAL PROD</t>
  </si>
  <si>
    <t>REVENDA</t>
  </si>
  <si>
    <t>p</t>
  </si>
  <si>
    <t>CLT</t>
  </si>
  <si>
    <t>CARLOS</t>
  </si>
  <si>
    <t>MARCOS</t>
  </si>
  <si>
    <t>GUSTAVO</t>
  </si>
  <si>
    <t>MARCELO</t>
  </si>
  <si>
    <t>ANTONIO</t>
  </si>
  <si>
    <t>QUEIROZ</t>
  </si>
  <si>
    <t>EDUARDO</t>
  </si>
  <si>
    <t>MARIANO</t>
  </si>
  <si>
    <t>PAULO</t>
  </si>
  <si>
    <t>PEDRO</t>
  </si>
  <si>
    <t>HUGO</t>
  </si>
  <si>
    <t>HERCULES</t>
  </si>
  <si>
    <t>CLC</t>
  </si>
  <si>
    <t>JUCIMAR</t>
  </si>
  <si>
    <t>IARLEY</t>
  </si>
  <si>
    <t>FELIPE</t>
  </si>
  <si>
    <t>FABIO</t>
  </si>
  <si>
    <t>FABIANO</t>
  </si>
  <si>
    <t>ULISSES</t>
  </si>
  <si>
    <t>ORLANDO</t>
  </si>
  <si>
    <t>BONFIM</t>
  </si>
  <si>
    <t>CESAR</t>
  </si>
  <si>
    <t>LINDOMAR</t>
  </si>
  <si>
    <t>WALMIR</t>
  </si>
  <si>
    <t>VALDIR</t>
  </si>
  <si>
    <t>ELISMAR</t>
  </si>
  <si>
    <t>KELLY</t>
  </si>
  <si>
    <t>PATRICIA</t>
  </si>
  <si>
    <t>IZABEL</t>
  </si>
  <si>
    <t>SERGIO</t>
  </si>
  <si>
    <t>Qualidade Tercerizada</t>
  </si>
</sst>
</file>

<file path=xl/styles.xml><?xml version="1.0" encoding="utf-8"?>
<styleSheet xmlns="http://schemas.openxmlformats.org/spreadsheetml/2006/main">
  <numFmts count="6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mmm/yyyy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_(&quot;$&quot;* #,##0.00_);_(&quot;$&quot;* \(#,##0.00\);_(&quot;$&quot;* &quot;-&quot;??_);_(@_)"/>
    <numFmt numFmtId="191" formatCode=";;;"/>
    <numFmt numFmtId="192" formatCode="000\-00\-0000"/>
    <numFmt numFmtId="193" formatCode="_(&quot;R$&quot;* #,##0.00_);_(&quot;R$&quot;* \(#,##0.00\);_(&quot;R$&quot;* &quot;-&quot;??_);_(@_)"/>
    <numFmt numFmtId="194" formatCode="&quot;$&quot;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m/d"/>
    <numFmt numFmtId="201" formatCode="m/d/yyyy;@"/>
    <numFmt numFmtId="202" formatCode="[$-409]dddd\,\ mmmm\ dd\,\ yyyy"/>
    <numFmt numFmtId="203" formatCode="&quot;R$&quot;#,##0.00"/>
    <numFmt numFmtId="204" formatCode="[$-416]dddd\,\ d&quot; de &quot;mmmm&quot; de &quot;yyyy"/>
    <numFmt numFmtId="205" formatCode="[$-416]d\ \ mmmm\,\ yyyy;@"/>
    <numFmt numFmtId="206" formatCode="[$-416]d\-mmm\-yy;@"/>
    <numFmt numFmtId="207" formatCode="[$-416]mmm\-yy;@"/>
    <numFmt numFmtId="208" formatCode="0.0%"/>
    <numFmt numFmtId="209" formatCode="&quot;R$ &quot;#,##0.00"/>
    <numFmt numFmtId="210" formatCode="_(* #,##0_);_(* \(#,##0\);_(* &quot;-&quot;??_);_(@_)"/>
    <numFmt numFmtId="211" formatCode="dd/mm/yyyy"/>
    <numFmt numFmtId="212" formatCode="_(* #,##0.0_);_(* \(#,##0.0\);_(* &quot;-&quot;??_);_(@_)"/>
    <numFmt numFmtId="213" formatCode="mmm\-yy"/>
    <numFmt numFmtId="214" formatCode="#,##0.000"/>
    <numFmt numFmtId="215" formatCode="#,##0.0000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0.00_ ;[Red]\-0.00\ "/>
    <numFmt numFmtId="223" formatCode="_-&quot;R$&quot;\ * #,##0.00_-;\-&quot;R$&quot;\ * #,##0.00_-;_-&quot;R$&quot;\ 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0"/>
    </font>
    <font>
      <sz val="8"/>
      <color indexed="9"/>
      <name val="Arial"/>
      <family val="2"/>
    </font>
    <font>
      <sz val="11"/>
      <color indexed="8"/>
      <name val="Arial"/>
      <family val="2"/>
    </font>
    <font>
      <b/>
      <sz val="8"/>
      <color indexed="12"/>
      <name val="Tahoma"/>
      <family val="0"/>
    </font>
    <font>
      <sz val="8"/>
      <color indexed="18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0"/>
    </font>
    <font>
      <b/>
      <sz val="11"/>
      <color indexed="8"/>
      <name val="Calibri"/>
      <family val="2"/>
    </font>
    <font>
      <sz val="18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12"/>
      <name val="Arial"/>
      <family val="2"/>
    </font>
    <font>
      <sz val="12"/>
      <color indexed="8"/>
      <name val="Arial"/>
      <family val="2"/>
    </font>
    <font>
      <b/>
      <sz val="11"/>
      <color indexed="30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>
        <color indexed="22"/>
      </left>
      <right/>
      <top style="thick">
        <color indexed="22"/>
      </top>
      <bottom/>
    </border>
    <border>
      <left/>
      <right/>
      <top style="thick">
        <color indexed="22"/>
      </top>
      <bottom/>
    </border>
    <border>
      <left/>
      <right/>
      <top style="thick">
        <color indexed="22"/>
      </top>
      <bottom>
        <color indexed="63"/>
      </bottom>
    </border>
    <border>
      <left/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>
        <color indexed="22"/>
      </left>
      <right>
        <color indexed="63"/>
      </right>
      <top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 style="medium"/>
      <right style="thick"/>
      <top style="medium"/>
      <bottom style="medium"/>
    </border>
    <border>
      <left style="hair"/>
      <right style="hair"/>
      <top>
        <color indexed="63"/>
      </top>
      <bottom style="hair"/>
    </border>
    <border>
      <left style="thick">
        <color indexed="22"/>
      </left>
      <right/>
      <top/>
      <bottom style="thick">
        <color indexed="22"/>
      </bottom>
    </border>
    <border>
      <left/>
      <right/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6" fillId="3" borderId="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3" fontId="0" fillId="3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207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0" fontId="8" fillId="3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4" fillId="3" borderId="0" xfId="0" applyFont="1" applyFill="1" applyBorder="1" applyAlignment="1">
      <alignment/>
    </xf>
    <xf numFmtId="3" fontId="11" fillId="3" borderId="0" xfId="0" applyNumberFormat="1" applyFont="1" applyFill="1" applyAlignment="1">
      <alignment/>
    </xf>
    <xf numFmtId="9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9" fontId="0" fillId="3" borderId="0" xfId="19" applyNumberForma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209" fontId="13" fillId="3" borderId="4" xfId="0" applyNumberFormat="1" applyFont="1" applyFill="1" applyBorder="1" applyAlignment="1">
      <alignment horizontal="center"/>
    </xf>
    <xf numFmtId="209" fontId="14" fillId="3" borderId="4" xfId="0" applyNumberFormat="1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horizontal="center"/>
    </xf>
    <xf numFmtId="209" fontId="15" fillId="3" borderId="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09" fontId="13" fillId="3" borderId="5" xfId="0" applyNumberFormat="1" applyFont="1" applyFill="1" applyBorder="1" applyAlignment="1">
      <alignment horizontal="center"/>
    </xf>
    <xf numFmtId="10" fontId="13" fillId="3" borderId="5" xfId="19" applyNumberFormat="1" applyFont="1" applyFill="1" applyBorder="1" applyAlignment="1">
      <alignment horizontal="center"/>
    </xf>
    <xf numFmtId="208" fontId="13" fillId="3" borderId="5" xfId="19" applyNumberFormat="1" applyFont="1" applyFill="1" applyBorder="1" applyAlignment="1">
      <alignment horizontal="center"/>
    </xf>
    <xf numFmtId="210" fontId="15" fillId="3" borderId="5" xfId="20" applyNumberFormat="1" applyFont="1" applyFill="1" applyBorder="1" applyAlignment="1">
      <alignment horizontal="center"/>
    </xf>
    <xf numFmtId="0" fontId="16" fillId="3" borderId="0" xfId="0" applyFont="1" applyFill="1" applyAlignment="1">
      <alignment/>
    </xf>
    <xf numFmtId="0" fontId="17" fillId="4" borderId="6" xfId="0" applyFont="1" applyFill="1" applyBorder="1" applyAlignment="1">
      <alignment/>
    </xf>
    <xf numFmtId="0" fontId="17" fillId="4" borderId="7" xfId="0" applyFont="1" applyFill="1" applyBorder="1" applyAlignment="1">
      <alignment horizontal="left"/>
    </xf>
    <xf numFmtId="4" fontId="17" fillId="4" borderId="7" xfId="0" applyNumberFormat="1" applyFont="1" applyFill="1" applyBorder="1" applyAlignment="1">
      <alignment/>
    </xf>
    <xf numFmtId="0" fontId="17" fillId="3" borderId="8" xfId="0" applyFont="1" applyFill="1" applyBorder="1" applyAlignment="1">
      <alignment/>
    </xf>
    <xf numFmtId="0" fontId="17" fillId="3" borderId="9" xfId="0" applyFont="1" applyFill="1" applyBorder="1" applyAlignment="1">
      <alignment horizontal="left"/>
    </xf>
    <xf numFmtId="4" fontId="17" fillId="3" borderId="10" xfId="0" applyNumberFormat="1" applyFont="1" applyFill="1" applyBorder="1" applyAlignment="1">
      <alignment/>
    </xf>
    <xf numFmtId="4" fontId="17" fillId="3" borderId="9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17" fillId="4" borderId="8" xfId="0" applyFont="1" applyFill="1" applyBorder="1" applyAlignment="1">
      <alignment/>
    </xf>
    <xf numFmtId="0" fontId="17" fillId="4" borderId="10" xfId="0" applyFont="1" applyFill="1" applyBorder="1" applyAlignment="1">
      <alignment horizontal="left"/>
    </xf>
    <xf numFmtId="4" fontId="17" fillId="4" borderId="10" xfId="0" applyNumberFormat="1" applyFont="1" applyFill="1" applyBorder="1" applyAlignment="1">
      <alignment/>
    </xf>
    <xf numFmtId="4" fontId="17" fillId="4" borderId="9" xfId="0" applyNumberFormat="1" applyFont="1" applyFill="1" applyBorder="1" applyAlignment="1">
      <alignment/>
    </xf>
    <xf numFmtId="0" fontId="17" fillId="3" borderId="10" xfId="0" applyFont="1" applyFill="1" applyBorder="1" applyAlignment="1">
      <alignment horizontal="left"/>
    </xf>
    <xf numFmtId="0" fontId="1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left"/>
    </xf>
    <xf numFmtId="4" fontId="18" fillId="3" borderId="5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2" fillId="3" borderId="11" xfId="0" applyFont="1" applyFill="1" applyBorder="1" applyAlignment="1">
      <alignment/>
    </xf>
    <xf numFmtId="4" fontId="17" fillId="4" borderId="12" xfId="0" applyNumberFormat="1" applyFont="1" applyFill="1" applyBorder="1" applyAlignment="1">
      <alignment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/>
    </xf>
    <xf numFmtId="0" fontId="23" fillId="3" borderId="2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23" fillId="3" borderId="2" xfId="0" applyFont="1" applyFill="1" applyBorder="1" applyAlignment="1">
      <alignment horizontal="right"/>
    </xf>
    <xf numFmtId="41" fontId="8" fillId="2" borderId="0" xfId="0" applyNumberFormat="1" applyFont="1" applyFill="1" applyAlignment="1">
      <alignment/>
    </xf>
    <xf numFmtId="41" fontId="22" fillId="3" borderId="13" xfId="0" applyNumberFormat="1" applyFont="1" applyFill="1" applyBorder="1" applyAlignment="1">
      <alignment horizontal="center"/>
    </xf>
    <xf numFmtId="41" fontId="8" fillId="3" borderId="14" xfId="0" applyNumberFormat="1" applyFont="1" applyFill="1" applyBorder="1" applyAlignment="1">
      <alignment horizontal="center"/>
    </xf>
    <xf numFmtId="41" fontId="8" fillId="3" borderId="15" xfId="0" applyNumberFormat="1" applyFont="1" applyFill="1" applyBorder="1" applyAlignment="1">
      <alignment horizontal="center"/>
    </xf>
    <xf numFmtId="41" fontId="23" fillId="5" borderId="14" xfId="0" applyNumberFormat="1" applyFont="1" applyFill="1" applyBorder="1" applyAlignment="1">
      <alignment/>
    </xf>
    <xf numFmtId="41" fontId="23" fillId="3" borderId="14" xfId="0" applyNumberFormat="1" applyFont="1" applyFill="1" applyBorder="1" applyAlignment="1">
      <alignment/>
    </xf>
    <xf numFmtId="41" fontId="23" fillId="3" borderId="15" xfId="0" applyNumberFormat="1" applyFont="1" applyFill="1" applyBorder="1" applyAlignment="1">
      <alignment/>
    </xf>
    <xf numFmtId="41" fontId="10" fillId="5" borderId="14" xfId="0" applyNumberFormat="1" applyFont="1" applyFill="1" applyBorder="1" applyAlignment="1">
      <alignment/>
    </xf>
    <xf numFmtId="41" fontId="10" fillId="3" borderId="14" xfId="0" applyNumberFormat="1" applyFont="1" applyFill="1" applyBorder="1" applyAlignment="1">
      <alignment/>
    </xf>
    <xf numFmtId="41" fontId="8" fillId="3" borderId="15" xfId="0" applyNumberFormat="1" applyFont="1" applyFill="1" applyBorder="1" applyAlignment="1">
      <alignment/>
    </xf>
    <xf numFmtId="41" fontId="8" fillId="5" borderId="14" xfId="0" applyNumberFormat="1" applyFont="1" applyFill="1" applyBorder="1" applyAlignment="1">
      <alignment/>
    </xf>
    <xf numFmtId="41" fontId="8" fillId="3" borderId="14" xfId="0" applyNumberFormat="1" applyFont="1" applyFill="1" applyBorder="1" applyAlignment="1">
      <alignment/>
    </xf>
    <xf numFmtId="41" fontId="9" fillId="4" borderId="14" xfId="0" applyNumberFormat="1" applyFont="1" applyFill="1" applyBorder="1" applyAlignment="1">
      <alignment/>
    </xf>
    <xf numFmtId="41" fontId="9" fillId="4" borderId="15" xfId="0" applyNumberFormat="1" applyFont="1" applyFill="1" applyBorder="1" applyAlignment="1">
      <alignment/>
    </xf>
    <xf numFmtId="41" fontId="8" fillId="3" borderId="16" xfId="0" applyNumberFormat="1" applyFont="1" applyFill="1" applyBorder="1" applyAlignment="1">
      <alignment/>
    </xf>
    <xf numFmtId="41" fontId="8" fillId="3" borderId="17" xfId="0" applyNumberFormat="1" applyFont="1" applyFill="1" applyBorder="1" applyAlignment="1">
      <alignment/>
    </xf>
    <xf numFmtId="213" fontId="22" fillId="3" borderId="18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Alignment="1">
      <alignment horizontal="center"/>
    </xf>
    <xf numFmtId="3" fontId="16" fillId="3" borderId="19" xfId="0" applyNumberFormat="1" applyFon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3" fontId="16" fillId="3" borderId="20" xfId="0" applyNumberFormat="1" applyFont="1" applyFill="1" applyBorder="1" applyAlignment="1">
      <alignment horizontal="center"/>
    </xf>
    <xf numFmtId="9" fontId="16" fillId="3" borderId="20" xfId="19" applyFont="1" applyFill="1" applyBorder="1" applyAlignment="1">
      <alignment/>
    </xf>
    <xf numFmtId="9" fontId="16" fillId="3" borderId="20" xfId="19" applyFont="1" applyFill="1" applyBorder="1" applyAlignment="1">
      <alignment horizontal="center"/>
    </xf>
    <xf numFmtId="3" fontId="16" fillId="3" borderId="21" xfId="0" applyNumberFormat="1" applyFon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9" fontId="0" fillId="3" borderId="20" xfId="19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207" fontId="1" fillId="3" borderId="23" xfId="0" applyNumberFormat="1" applyFont="1" applyFill="1" applyBorder="1" applyAlignment="1">
      <alignment horizontal="right"/>
    </xf>
    <xf numFmtId="3" fontId="16" fillId="3" borderId="24" xfId="0" applyNumberFormat="1" applyFont="1" applyFill="1" applyBorder="1" applyAlignment="1">
      <alignment horizontal="center"/>
    </xf>
    <xf numFmtId="3" fontId="16" fillId="3" borderId="25" xfId="0" applyNumberFormat="1" applyFont="1" applyFill="1" applyBorder="1" applyAlignment="1">
      <alignment horizontal="center"/>
    </xf>
    <xf numFmtId="3" fontId="16" fillId="3" borderId="26" xfId="0" applyNumberFormat="1" applyFont="1" applyFill="1" applyBorder="1" applyAlignment="1">
      <alignment horizontal="center"/>
    </xf>
    <xf numFmtId="3" fontId="16" fillId="3" borderId="27" xfId="0" applyNumberFormat="1" applyFont="1" applyFill="1" applyBorder="1" applyAlignment="1">
      <alignment horizontal="center"/>
    </xf>
    <xf numFmtId="9" fontId="16" fillId="3" borderId="23" xfId="19" applyFont="1" applyFill="1" applyBorder="1" applyAlignment="1">
      <alignment/>
    </xf>
    <xf numFmtId="9" fontId="16" fillId="3" borderId="23" xfId="19" applyFont="1" applyFill="1" applyBorder="1" applyAlignment="1">
      <alignment horizontal="center"/>
    </xf>
    <xf numFmtId="9" fontId="16" fillId="3" borderId="19" xfId="19" applyFont="1" applyFill="1" applyBorder="1" applyAlignment="1">
      <alignment/>
    </xf>
    <xf numFmtId="43" fontId="16" fillId="3" borderId="19" xfId="20" applyFont="1" applyFill="1" applyBorder="1" applyAlignment="1">
      <alignment horizontal="center"/>
    </xf>
    <xf numFmtId="9" fontId="16" fillId="3" borderId="19" xfId="19" applyFont="1" applyFill="1" applyBorder="1" applyAlignment="1">
      <alignment horizontal="center"/>
    </xf>
    <xf numFmtId="9" fontId="0" fillId="3" borderId="23" xfId="19" applyFill="1" applyBorder="1" applyAlignment="1">
      <alignment horizontal="center"/>
    </xf>
    <xf numFmtId="3" fontId="0" fillId="3" borderId="27" xfId="0" applyNumberFormat="1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3" fontId="16" fillId="3" borderId="23" xfId="0" applyNumberFormat="1" applyFon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0" fontId="6" fillId="3" borderId="28" xfId="0" applyFont="1" applyFill="1" applyBorder="1" applyAlignment="1">
      <alignment/>
    </xf>
    <xf numFmtId="3" fontId="29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/>
    </xf>
    <xf numFmtId="0" fontId="30" fillId="3" borderId="30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11" fillId="2" borderId="0" xfId="0" applyNumberFormat="1" applyFont="1" applyFill="1" applyAlignment="1">
      <alignment horizontal="center"/>
    </xf>
    <xf numFmtId="3" fontId="11" fillId="3" borderId="31" xfId="0" applyNumberFormat="1" applyFont="1" applyFill="1" applyBorder="1" applyAlignment="1">
      <alignment horizontal="center"/>
    </xf>
    <xf numFmtId="207" fontId="11" fillId="3" borderId="32" xfId="0" applyNumberFormat="1" applyFont="1" applyFill="1" applyBorder="1" applyAlignment="1">
      <alignment horizontal="center"/>
    </xf>
    <xf numFmtId="3" fontId="11" fillId="3" borderId="33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1" fillId="3" borderId="19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6" fillId="3" borderId="11" xfId="0" applyFont="1" applyFill="1" applyBorder="1" applyAlignment="1">
      <alignment/>
    </xf>
    <xf numFmtId="3" fontId="17" fillId="6" borderId="26" xfId="0" applyNumberFormat="1" applyFont="1" applyFill="1" applyBorder="1" applyAlignment="1">
      <alignment horizontal="center"/>
    </xf>
    <xf numFmtId="9" fontId="17" fillId="6" borderId="25" xfId="19" applyFont="1" applyFill="1" applyBorder="1" applyAlignment="1">
      <alignment horizontal="center"/>
    </xf>
    <xf numFmtId="3" fontId="15" fillId="6" borderId="34" xfId="0" applyNumberFormat="1" applyFont="1" applyFill="1" applyBorder="1" applyAlignment="1">
      <alignment horizontal="center"/>
    </xf>
    <xf numFmtId="210" fontId="17" fillId="6" borderId="26" xfId="20" applyNumberFormat="1" applyFont="1" applyFill="1" applyBorder="1" applyAlignment="1">
      <alignment horizontal="center"/>
    </xf>
    <xf numFmtId="3" fontId="17" fillId="6" borderId="25" xfId="0" applyNumberFormat="1" applyFont="1" applyFill="1" applyBorder="1" applyAlignment="1">
      <alignment horizontal="center"/>
    </xf>
    <xf numFmtId="3" fontId="17" fillId="6" borderId="35" xfId="0" applyNumberFormat="1" applyFont="1" applyFill="1" applyBorder="1" applyAlignment="1">
      <alignment horizontal="center"/>
    </xf>
    <xf numFmtId="9" fontId="17" fillId="6" borderId="36" xfId="19" applyFont="1" applyFill="1" applyBorder="1" applyAlignment="1">
      <alignment horizontal="center"/>
    </xf>
    <xf numFmtId="9" fontId="1" fillId="6" borderId="36" xfId="19" applyFont="1" applyFill="1" applyBorder="1" applyAlignment="1">
      <alignment horizontal="center"/>
    </xf>
    <xf numFmtId="3" fontId="15" fillId="6" borderId="13" xfId="0" applyNumberFormat="1" applyFon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3" fontId="17" fillId="6" borderId="37" xfId="0" applyNumberFormat="1" applyFont="1" applyFill="1" applyBorder="1" applyAlignment="1">
      <alignment horizontal="center"/>
    </xf>
    <xf numFmtId="3" fontId="17" fillId="6" borderId="38" xfId="0" applyNumberFormat="1" applyFont="1" applyFill="1" applyBorder="1" applyAlignment="1">
      <alignment horizontal="center"/>
    </xf>
    <xf numFmtId="3" fontId="1" fillId="6" borderId="38" xfId="0" applyNumberFormat="1" applyFont="1" applyFill="1" applyBorder="1" applyAlignment="1">
      <alignment horizontal="center"/>
    </xf>
    <xf numFmtId="3" fontId="1" fillId="6" borderId="37" xfId="0" applyNumberFormat="1" applyFont="1" applyFill="1" applyBorder="1" applyAlignment="1">
      <alignment horizontal="center"/>
    </xf>
    <xf numFmtId="3" fontId="15" fillId="6" borderId="39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right"/>
    </xf>
    <xf numFmtId="0" fontId="6" fillId="3" borderId="30" xfId="0" applyFont="1" applyFill="1" applyBorder="1" applyAlignment="1">
      <alignment horizontal="right"/>
    </xf>
    <xf numFmtId="38" fontId="17" fillId="3" borderId="25" xfId="0" applyNumberFormat="1" applyFont="1" applyFill="1" applyBorder="1" applyAlignment="1">
      <alignment horizontal="center"/>
    </xf>
    <xf numFmtId="38" fontId="17" fillId="3" borderId="26" xfId="0" applyNumberFormat="1" applyFont="1" applyFill="1" applyBorder="1" applyAlignment="1">
      <alignment horizontal="center"/>
    </xf>
    <xf numFmtId="38" fontId="1" fillId="3" borderId="25" xfId="0" applyNumberFormat="1" applyFont="1" applyFill="1" applyBorder="1" applyAlignment="1">
      <alignment horizontal="center"/>
    </xf>
    <xf numFmtId="38" fontId="15" fillId="3" borderId="34" xfId="0" applyNumberFormat="1" applyFont="1" applyFill="1" applyBorder="1" applyAlignment="1">
      <alignment horizontal="center"/>
    </xf>
    <xf numFmtId="0" fontId="4" fillId="6" borderId="22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1" fillId="3" borderId="40" xfId="0" applyFont="1" applyFill="1" applyBorder="1" applyAlignment="1">
      <alignment horizontal="center"/>
    </xf>
    <xf numFmtId="0" fontId="0" fillId="3" borderId="40" xfId="0" applyFill="1" applyBorder="1" applyAlignment="1">
      <alignment horizontal="center" textRotation="90"/>
    </xf>
    <xf numFmtId="9" fontId="4" fillId="6" borderId="22" xfId="19" applyFont="1" applyFill="1" applyBorder="1" applyAlignment="1">
      <alignment/>
    </xf>
    <xf numFmtId="9" fontId="4" fillId="3" borderId="22" xfId="19" applyFont="1" applyFill="1" applyBorder="1" applyAlignment="1">
      <alignment/>
    </xf>
    <xf numFmtId="9" fontId="4" fillId="6" borderId="5" xfId="19" applyFont="1" applyFill="1" applyBorder="1" applyAlignment="1">
      <alignment/>
    </xf>
    <xf numFmtId="4" fontId="17" fillId="4" borderId="41" xfId="0" applyNumberFormat="1" applyFont="1" applyFill="1" applyBorder="1" applyAlignment="1">
      <alignment/>
    </xf>
    <xf numFmtId="4" fontId="15" fillId="3" borderId="0" xfId="0" applyNumberFormat="1" applyFont="1" applyFill="1" applyBorder="1" applyAlignment="1">
      <alignment/>
    </xf>
    <xf numFmtId="4" fontId="17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left"/>
    </xf>
    <xf numFmtId="4" fontId="17" fillId="4" borderId="32" xfId="0" applyNumberFormat="1" applyFont="1" applyFill="1" applyBorder="1" applyAlignment="1">
      <alignment/>
    </xf>
    <xf numFmtId="4" fontId="17" fillId="3" borderId="39" xfId="0" applyNumberFormat="1" applyFont="1" applyFill="1" applyBorder="1" applyAlignment="1">
      <alignment/>
    </xf>
    <xf numFmtId="4" fontId="17" fillId="4" borderId="39" xfId="0" applyNumberFormat="1" applyFont="1" applyFill="1" applyBorder="1" applyAlignment="1">
      <alignment/>
    </xf>
    <xf numFmtId="4" fontId="15" fillId="3" borderId="4" xfId="0" applyNumberFormat="1" applyFont="1" applyFill="1" applyBorder="1" applyAlignment="1">
      <alignment/>
    </xf>
    <xf numFmtId="4" fontId="15" fillId="3" borderId="40" xfId="0" applyNumberFormat="1" applyFont="1" applyFill="1" applyBorder="1" applyAlignment="1">
      <alignment/>
    </xf>
    <xf numFmtId="0" fontId="17" fillId="3" borderId="5" xfId="0" applyFont="1" applyFill="1" applyBorder="1" applyAlignment="1">
      <alignment/>
    </xf>
    <xf numFmtId="0" fontId="17" fillId="3" borderId="5" xfId="0" applyFont="1" applyFill="1" applyBorder="1" applyAlignment="1">
      <alignment horizontal="left"/>
    </xf>
    <xf numFmtId="4" fontId="17" fillId="3" borderId="5" xfId="0" applyNumberFormat="1" applyFont="1" applyFill="1" applyBorder="1" applyAlignment="1">
      <alignment/>
    </xf>
    <xf numFmtId="43" fontId="0" fillId="6" borderId="22" xfId="20" applyFill="1" applyBorder="1" applyAlignment="1">
      <alignment/>
    </xf>
    <xf numFmtId="43" fontId="0" fillId="3" borderId="22" xfId="20" applyFill="1" applyBorder="1" applyAlignment="1">
      <alignment/>
    </xf>
    <xf numFmtId="43" fontId="0" fillId="6" borderId="5" xfId="2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30" xfId="0" applyFill="1" applyBorder="1" applyAlignment="1">
      <alignment/>
    </xf>
    <xf numFmtId="3" fontId="0" fillId="3" borderId="42" xfId="0" applyNumberFormat="1" applyFill="1" applyBorder="1" applyAlignment="1">
      <alignment/>
    </xf>
    <xf numFmtId="3" fontId="0" fillId="3" borderId="40" xfId="0" applyNumberFormat="1" applyFill="1" applyBorder="1" applyAlignment="1">
      <alignment/>
    </xf>
    <xf numFmtId="4" fontId="1" fillId="3" borderId="22" xfId="0" applyNumberFormat="1" applyFont="1" applyFill="1" applyBorder="1" applyAlignment="1">
      <alignment horizontal="center"/>
    </xf>
    <xf numFmtId="9" fontId="4" fillId="6" borderId="4" xfId="19" applyFont="1" applyFill="1" applyBorder="1" applyAlignment="1">
      <alignment/>
    </xf>
    <xf numFmtId="43" fontId="0" fillId="6" borderId="4" xfId="20" applyFill="1" applyBorder="1" applyAlignment="1">
      <alignment/>
    </xf>
    <xf numFmtId="4" fontId="1" fillId="6" borderId="4" xfId="0" applyNumberFormat="1" applyFont="1" applyFill="1" applyBorder="1" applyAlignment="1">
      <alignment horizontal="center"/>
    </xf>
    <xf numFmtId="4" fontId="1" fillId="6" borderId="22" xfId="0" applyNumberFormat="1" applyFont="1" applyFill="1" applyBorder="1" applyAlignment="1">
      <alignment horizontal="center"/>
    </xf>
    <xf numFmtId="4" fontId="1" fillId="6" borderId="5" xfId="0" applyNumberFormat="1" applyFont="1" applyFill="1" applyBorder="1" applyAlignment="1">
      <alignment horizontal="center"/>
    </xf>
    <xf numFmtId="0" fontId="12" fillId="0" borderId="4" xfId="0" applyFont="1" applyBorder="1" applyAlignment="1">
      <alignment/>
    </xf>
    <xf numFmtId="9" fontId="16" fillId="3" borderId="40" xfId="19" applyNumberFormat="1" applyFont="1" applyFill="1" applyBorder="1" applyAlignment="1">
      <alignment/>
    </xf>
    <xf numFmtId="9" fontId="17" fillId="3" borderId="40" xfId="0" applyNumberFormat="1" applyFont="1" applyFill="1" applyBorder="1" applyAlignment="1">
      <alignment/>
    </xf>
    <xf numFmtId="9" fontId="15" fillId="0" borderId="5" xfId="19" applyFont="1" applyBorder="1" applyAlignment="1">
      <alignment horizontal="center"/>
    </xf>
    <xf numFmtId="0" fontId="24" fillId="3" borderId="43" xfId="0" applyFont="1" applyFill="1" applyBorder="1" applyAlignment="1">
      <alignment horizontal="center"/>
    </xf>
    <xf numFmtId="9" fontId="0" fillId="3" borderId="5" xfId="0" applyNumberFormat="1" applyFill="1" applyBorder="1" applyAlignment="1">
      <alignment/>
    </xf>
    <xf numFmtId="0" fontId="4" fillId="6" borderId="4" xfId="0" applyFont="1" applyFill="1" applyBorder="1" applyAlignment="1">
      <alignment/>
    </xf>
    <xf numFmtId="43" fontId="34" fillId="3" borderId="42" xfId="20" applyFont="1" applyFill="1" applyBorder="1" applyAlignment="1">
      <alignment/>
    </xf>
    <xf numFmtId="4" fontId="27" fillId="3" borderId="20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3" fontId="17" fillId="6" borderId="44" xfId="0" applyNumberFormat="1" applyFont="1" applyFill="1" applyBorder="1" applyAlignment="1">
      <alignment horizontal="center"/>
    </xf>
    <xf numFmtId="9" fontId="0" fillId="3" borderId="6" xfId="19" applyFill="1" applyBorder="1" applyAlignment="1">
      <alignment horizontal="center"/>
    </xf>
    <xf numFmtId="9" fontId="0" fillId="3" borderId="8" xfId="19" applyFill="1" applyBorder="1" applyAlignment="1">
      <alignment horizontal="center"/>
    </xf>
    <xf numFmtId="9" fontId="1" fillId="6" borderId="38" xfId="19" applyFont="1" applyFill="1" applyBorder="1" applyAlignment="1">
      <alignment horizontal="center"/>
    </xf>
    <xf numFmtId="3" fontId="0" fillId="3" borderId="45" xfId="0" applyNumberFormat="1" applyFill="1" applyBorder="1" applyAlignment="1">
      <alignment/>
    </xf>
    <xf numFmtId="0" fontId="1" fillId="3" borderId="29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210" fontId="1" fillId="5" borderId="47" xfId="20" applyNumberFormat="1" applyFont="1" applyFill="1" applyBorder="1" applyAlignment="1">
      <alignment horizontal="center"/>
    </xf>
    <xf numFmtId="0" fontId="8" fillId="7" borderId="0" xfId="0" applyFont="1" applyFill="1" applyAlignment="1">
      <alignment/>
    </xf>
    <xf numFmtId="0" fontId="35" fillId="7" borderId="0" xfId="0" applyFont="1" applyFill="1" applyAlignment="1">
      <alignment/>
    </xf>
    <xf numFmtId="0" fontId="35" fillId="3" borderId="2" xfId="0" applyFont="1" applyFill="1" applyBorder="1" applyAlignment="1">
      <alignment/>
    </xf>
    <xf numFmtId="41" fontId="35" fillId="3" borderId="14" xfId="0" applyNumberFormat="1" applyFont="1" applyFill="1" applyBorder="1" applyAlignment="1">
      <alignment/>
    </xf>
    <xf numFmtId="41" fontId="35" fillId="3" borderId="15" xfId="0" applyNumberFormat="1" applyFont="1" applyFill="1" applyBorder="1" applyAlignment="1">
      <alignment/>
    </xf>
    <xf numFmtId="41" fontId="35" fillId="5" borderId="14" xfId="0" applyNumberFormat="1" applyFont="1" applyFill="1" applyBorder="1" applyAlignment="1">
      <alignment/>
    </xf>
    <xf numFmtId="41" fontId="10" fillId="4" borderId="14" xfId="0" applyNumberFormat="1" applyFont="1" applyFill="1" applyBorder="1" applyAlignment="1">
      <alignment/>
    </xf>
    <xf numFmtId="41" fontId="10" fillId="4" borderId="15" xfId="0" applyNumberFormat="1" applyFont="1" applyFill="1" applyBorder="1" applyAlignment="1">
      <alignment/>
    </xf>
    <xf numFmtId="0" fontId="10" fillId="4" borderId="2" xfId="0" applyFont="1" applyFill="1" applyBorder="1" applyAlignment="1">
      <alignment/>
    </xf>
    <xf numFmtId="41" fontId="10" fillId="5" borderId="48" xfId="0" applyNumberFormat="1" applyFont="1" applyFill="1" applyBorder="1" applyAlignment="1">
      <alignment/>
    </xf>
    <xf numFmtId="3" fontId="1" fillId="3" borderId="40" xfId="0" applyNumberFormat="1" applyFont="1" applyFill="1" applyBorder="1" applyAlignment="1">
      <alignment horizontal="center" textRotation="90" wrapText="1"/>
    </xf>
    <xf numFmtId="0" fontId="13" fillId="0" borderId="0" xfId="0" applyFont="1" applyAlignment="1">
      <alignment horizontal="left"/>
    </xf>
    <xf numFmtId="4" fontId="13" fillId="0" borderId="40" xfId="0" applyNumberFormat="1" applyFont="1" applyBorder="1" applyAlignment="1">
      <alignment/>
    </xf>
    <xf numFmtId="209" fontId="37" fillId="3" borderId="4" xfId="0" applyNumberFormat="1" applyFont="1" applyFill="1" applyBorder="1" applyAlignment="1">
      <alignment horizontal="center"/>
    </xf>
    <xf numFmtId="0" fontId="22" fillId="3" borderId="30" xfId="0" applyFont="1" applyFill="1" applyBorder="1" applyAlignment="1">
      <alignment/>
    </xf>
    <xf numFmtId="0" fontId="8" fillId="3" borderId="0" xfId="0" applyFont="1" applyFill="1" applyAlignment="1">
      <alignment/>
    </xf>
    <xf numFmtId="41" fontId="8" fillId="3" borderId="0" xfId="0" applyNumberFormat="1" applyFont="1" applyFill="1" applyAlignment="1">
      <alignment/>
    </xf>
    <xf numFmtId="0" fontId="9" fillId="3" borderId="2" xfId="0" applyFont="1" applyFill="1" applyBorder="1" applyAlignment="1">
      <alignment horizontal="left"/>
    </xf>
    <xf numFmtId="0" fontId="35" fillId="3" borderId="0" xfId="0" applyFont="1" applyFill="1" applyAlignment="1">
      <alignment/>
    </xf>
    <xf numFmtId="41" fontId="9" fillId="5" borderId="14" xfId="0" applyNumberFormat="1" applyFont="1" applyFill="1" applyBorder="1" applyAlignment="1">
      <alignment/>
    </xf>
    <xf numFmtId="41" fontId="23" fillId="6" borderId="14" xfId="0" applyNumberFormat="1" applyFont="1" applyFill="1" applyBorder="1" applyAlignment="1">
      <alignment/>
    </xf>
    <xf numFmtId="41" fontId="10" fillId="6" borderId="14" xfId="0" applyNumberFormat="1" applyFont="1" applyFill="1" applyBorder="1" applyAlignment="1">
      <alignment/>
    </xf>
    <xf numFmtId="41" fontId="8" fillId="6" borderId="14" xfId="0" applyNumberFormat="1" applyFont="1" applyFill="1" applyBorder="1" applyAlignment="1">
      <alignment/>
    </xf>
    <xf numFmtId="41" fontId="9" fillId="6" borderId="14" xfId="0" applyNumberFormat="1" applyFont="1" applyFill="1" applyBorder="1" applyAlignment="1">
      <alignment/>
    </xf>
    <xf numFmtId="41" fontId="35" fillId="6" borderId="14" xfId="0" applyNumberFormat="1" applyFont="1" applyFill="1" applyBorder="1" applyAlignment="1">
      <alignment/>
    </xf>
    <xf numFmtId="41" fontId="23" fillId="5" borderId="48" xfId="0" applyNumberFormat="1" applyFont="1" applyFill="1" applyBorder="1" applyAlignment="1">
      <alignment/>
    </xf>
    <xf numFmtId="41" fontId="8" fillId="5" borderId="48" xfId="0" applyNumberFormat="1" applyFont="1" applyFill="1" applyBorder="1" applyAlignment="1">
      <alignment/>
    </xf>
    <xf numFmtId="41" fontId="9" fillId="5" borderId="48" xfId="0" applyNumberFormat="1" applyFont="1" applyFill="1" applyBorder="1" applyAlignment="1">
      <alignment/>
    </xf>
    <xf numFmtId="41" fontId="35" fillId="5" borderId="48" xfId="0" applyNumberFormat="1" applyFont="1" applyFill="1" applyBorder="1" applyAlignment="1">
      <alignment/>
    </xf>
    <xf numFmtId="41" fontId="8" fillId="5" borderId="0" xfId="0" applyNumberFormat="1" applyFont="1" applyFill="1" applyBorder="1" applyAlignment="1">
      <alignment/>
    </xf>
    <xf numFmtId="41" fontId="10" fillId="5" borderId="0" xfId="0" applyNumberFormat="1" applyFont="1" applyFill="1" applyBorder="1" applyAlignment="1">
      <alignment/>
    </xf>
    <xf numFmtId="41" fontId="23" fillId="5" borderId="0" xfId="0" applyNumberFormat="1" applyFont="1" applyFill="1" applyBorder="1" applyAlignment="1">
      <alignment/>
    </xf>
    <xf numFmtId="41" fontId="9" fillId="5" borderId="0" xfId="0" applyNumberFormat="1" applyFont="1" applyFill="1" applyBorder="1" applyAlignment="1">
      <alignment/>
    </xf>
    <xf numFmtId="0" fontId="10" fillId="3" borderId="49" xfId="0" applyFont="1" applyFill="1" applyBorder="1" applyAlignment="1">
      <alignment/>
    </xf>
    <xf numFmtId="41" fontId="10" fillId="6" borderId="50" xfId="0" applyNumberFormat="1" applyFont="1" applyFill="1" applyBorder="1" applyAlignment="1">
      <alignment/>
    </xf>
    <xf numFmtId="9" fontId="16" fillId="3" borderId="0" xfId="19" applyFont="1" applyFill="1" applyBorder="1" applyAlignment="1">
      <alignment/>
    </xf>
    <xf numFmtId="0" fontId="17" fillId="3" borderId="41" xfId="0" applyFont="1" applyFill="1" applyBorder="1" applyAlignment="1">
      <alignment horizontal="left"/>
    </xf>
    <xf numFmtId="4" fontId="17" fillId="3" borderId="41" xfId="0" applyNumberFormat="1" applyFont="1" applyFill="1" applyBorder="1" applyAlignment="1">
      <alignment/>
    </xf>
    <xf numFmtId="4" fontId="17" fillId="3" borderId="51" xfId="0" applyNumberFormat="1" applyFont="1" applyFill="1" applyBorder="1" applyAlignment="1">
      <alignment/>
    </xf>
    <xf numFmtId="0" fontId="17" fillId="4" borderId="41" xfId="0" applyFont="1" applyFill="1" applyBorder="1" applyAlignment="1">
      <alignment horizontal="left"/>
    </xf>
    <xf numFmtId="0" fontId="16" fillId="3" borderId="45" xfId="0" applyFont="1" applyFill="1" applyBorder="1" applyAlignment="1">
      <alignment/>
    </xf>
    <xf numFmtId="0" fontId="8" fillId="8" borderId="29" xfId="0" applyFont="1" applyFill="1" applyBorder="1" applyAlignment="1">
      <alignment/>
    </xf>
    <xf numFmtId="41" fontId="8" fillId="8" borderId="12" xfId="0" applyNumberFormat="1" applyFont="1" applyFill="1" applyBorder="1" applyAlignment="1">
      <alignment horizontal="center"/>
    </xf>
    <xf numFmtId="41" fontId="8" fillId="8" borderId="52" xfId="0" applyNumberFormat="1" applyFont="1" applyFill="1" applyBorder="1" applyAlignment="1">
      <alignment horizontal="center"/>
    </xf>
    <xf numFmtId="41" fontId="8" fillId="8" borderId="46" xfId="0" applyNumberFormat="1" applyFont="1" applyFill="1" applyBorder="1" applyAlignment="1">
      <alignment horizontal="center"/>
    </xf>
    <xf numFmtId="41" fontId="8" fillId="8" borderId="53" xfId="0" applyNumberFormat="1" applyFont="1" applyFill="1" applyBorder="1" applyAlignment="1">
      <alignment horizontal="center"/>
    </xf>
    <xf numFmtId="0" fontId="9" fillId="8" borderId="30" xfId="0" applyFont="1" applyFill="1" applyBorder="1" applyAlignment="1">
      <alignment/>
    </xf>
    <xf numFmtId="41" fontId="9" fillId="8" borderId="50" xfId="0" applyNumberFormat="1" applyFont="1" applyFill="1" applyBorder="1" applyAlignment="1">
      <alignment/>
    </xf>
    <xf numFmtId="41" fontId="9" fillId="8" borderId="54" xfId="0" applyNumberFormat="1" applyFont="1" applyFill="1" applyBorder="1" applyAlignment="1">
      <alignment/>
    </xf>
    <xf numFmtId="41" fontId="9" fillId="8" borderId="1" xfId="0" applyNumberFormat="1" applyFont="1" applyFill="1" applyBorder="1" applyAlignment="1">
      <alignment/>
    </xf>
    <xf numFmtId="41" fontId="9" fillId="8" borderId="55" xfId="0" applyNumberFormat="1" applyFont="1" applyFill="1" applyBorder="1" applyAlignment="1">
      <alignment/>
    </xf>
    <xf numFmtId="0" fontId="22" fillId="3" borderId="1" xfId="0" applyFont="1" applyFill="1" applyBorder="1" applyAlignment="1">
      <alignment/>
    </xf>
    <xf numFmtId="0" fontId="8" fillId="8" borderId="46" xfId="0" applyFont="1" applyFill="1" applyBorder="1" applyAlignment="1">
      <alignment/>
    </xf>
    <xf numFmtId="0" fontId="9" fillId="8" borderId="1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3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/>
    </xf>
    <xf numFmtId="0" fontId="35" fillId="3" borderId="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22" fillId="3" borderId="29" xfId="0" applyFont="1" applyFill="1" applyBorder="1" applyAlignment="1">
      <alignment/>
    </xf>
    <xf numFmtId="0" fontId="22" fillId="3" borderId="56" xfId="0" applyFont="1" applyFill="1" applyBorder="1" applyAlignment="1">
      <alignment/>
    </xf>
    <xf numFmtId="9" fontId="23" fillId="3" borderId="0" xfId="19" applyFont="1" applyFill="1" applyBorder="1" applyAlignment="1">
      <alignment/>
    </xf>
    <xf numFmtId="0" fontId="38" fillId="3" borderId="0" xfId="0" applyFont="1" applyFill="1" applyBorder="1" applyAlignment="1">
      <alignment horizontal="left"/>
    </xf>
    <xf numFmtId="3" fontId="27" fillId="3" borderId="24" xfId="0" applyNumberFormat="1" applyFont="1" applyFill="1" applyBorder="1" applyAlignment="1">
      <alignment horizontal="center"/>
    </xf>
    <xf numFmtId="3" fontId="16" fillId="3" borderId="57" xfId="0" applyNumberFormat="1" applyFont="1" applyFill="1" applyBorder="1" applyAlignment="1">
      <alignment horizontal="center"/>
    </xf>
    <xf numFmtId="9" fontId="16" fillId="3" borderId="58" xfId="19" applyFont="1" applyFill="1" applyBorder="1" applyAlignment="1">
      <alignment horizontal="center"/>
    </xf>
    <xf numFmtId="9" fontId="0" fillId="3" borderId="58" xfId="19" applyFill="1" applyBorder="1" applyAlignment="1">
      <alignment horizontal="center"/>
    </xf>
    <xf numFmtId="3" fontId="16" fillId="3" borderId="58" xfId="0" applyNumberFormat="1" applyFont="1" applyFill="1" applyBorder="1" applyAlignment="1">
      <alignment horizontal="center"/>
    </xf>
    <xf numFmtId="3" fontId="0" fillId="3" borderId="58" xfId="0" applyNumberFormat="1" applyFill="1" applyBorder="1" applyAlignment="1">
      <alignment horizontal="center"/>
    </xf>
    <xf numFmtId="10" fontId="0" fillId="3" borderId="0" xfId="19" applyNumberFormat="1" applyFill="1" applyAlignment="1">
      <alignment horizontal="center"/>
    </xf>
    <xf numFmtId="41" fontId="9" fillId="5" borderId="50" xfId="0" applyNumberFormat="1" applyFont="1" applyFill="1" applyBorder="1" applyAlignment="1">
      <alignment/>
    </xf>
    <xf numFmtId="44" fontId="13" fillId="3" borderId="5" xfId="17" applyFont="1" applyFill="1" applyBorder="1" applyAlignment="1">
      <alignment horizontal="center"/>
    </xf>
    <xf numFmtId="0" fontId="17" fillId="4" borderId="23" xfId="0" applyFont="1" applyFill="1" applyBorder="1" applyAlignment="1">
      <alignment/>
    </xf>
    <xf numFmtId="0" fontId="17" fillId="3" borderId="38" xfId="0" applyFont="1" applyFill="1" applyBorder="1" applyAlignment="1">
      <alignment/>
    </xf>
    <xf numFmtId="0" fontId="17" fillId="4" borderId="20" xfId="0" applyFont="1" applyFill="1" applyBorder="1" applyAlignment="1">
      <alignment/>
    </xf>
    <xf numFmtId="0" fontId="17" fillId="3" borderId="20" xfId="0" applyFont="1" applyFill="1" applyBorder="1" applyAlignment="1">
      <alignment/>
    </xf>
    <xf numFmtId="0" fontId="17" fillId="3" borderId="58" xfId="0" applyFont="1" applyFill="1" applyBorder="1" applyAlignment="1">
      <alignment/>
    </xf>
    <xf numFmtId="0" fontId="17" fillId="4" borderId="59" xfId="0" applyFont="1" applyFill="1" applyBorder="1" applyAlignment="1">
      <alignment/>
    </xf>
    <xf numFmtId="0" fontId="17" fillId="4" borderId="10" xfId="0" applyFont="1" applyFill="1" applyBorder="1" applyAlignment="1">
      <alignment/>
    </xf>
    <xf numFmtId="4" fontId="17" fillId="4" borderId="5" xfId="0" applyNumberFormat="1" applyFont="1" applyFill="1" applyBorder="1" applyAlignment="1">
      <alignment/>
    </xf>
    <xf numFmtId="4" fontId="17" fillId="4" borderId="21" xfId="0" applyNumberFormat="1" applyFont="1" applyFill="1" applyBorder="1" applyAlignment="1">
      <alignment/>
    </xf>
    <xf numFmtId="4" fontId="17" fillId="3" borderId="21" xfId="0" applyNumberFormat="1" applyFont="1" applyFill="1" applyBorder="1" applyAlignment="1">
      <alignment/>
    </xf>
    <xf numFmtId="4" fontId="17" fillId="4" borderId="57" xfId="0" applyNumberFormat="1" applyFont="1" applyFill="1" applyBorder="1" applyAlignment="1">
      <alignment/>
    </xf>
    <xf numFmtId="4" fontId="17" fillId="3" borderId="57" xfId="0" applyNumberFormat="1" applyFont="1" applyFill="1" applyBorder="1" applyAlignment="1">
      <alignment/>
    </xf>
    <xf numFmtId="4" fontId="17" fillId="4" borderId="38" xfId="0" applyNumberFormat="1" applyFont="1" applyFill="1" applyBorder="1" applyAlignment="1">
      <alignment/>
    </xf>
    <xf numFmtId="4" fontId="17" fillId="3" borderId="38" xfId="0" applyNumberFormat="1" applyFont="1" applyFill="1" applyBorder="1" applyAlignment="1">
      <alignment/>
    </xf>
    <xf numFmtId="4" fontId="17" fillId="3" borderId="60" xfId="0" applyNumberFormat="1" applyFont="1" applyFill="1" applyBorder="1" applyAlignment="1">
      <alignment/>
    </xf>
    <xf numFmtId="0" fontId="17" fillId="4" borderId="5" xfId="0" applyFont="1" applyFill="1" applyBorder="1" applyAlignment="1">
      <alignment/>
    </xf>
    <xf numFmtId="0" fontId="17" fillId="4" borderId="5" xfId="0" applyFont="1" applyFill="1" applyBorder="1" applyAlignment="1">
      <alignment horizontal="left"/>
    </xf>
    <xf numFmtId="4" fontId="15" fillId="4" borderId="4" xfId="0" applyNumberFormat="1" applyFont="1" applyFill="1" applyBorder="1" applyAlignment="1">
      <alignment/>
    </xf>
    <xf numFmtId="9" fontId="16" fillId="4" borderId="40" xfId="19" applyNumberFormat="1" applyFont="1" applyFill="1" applyBorder="1" applyAlignment="1">
      <alignment/>
    </xf>
    <xf numFmtId="41" fontId="10" fillId="3" borderId="48" xfId="0" applyNumberFormat="1" applyFont="1" applyFill="1" applyBorder="1" applyAlignment="1">
      <alignment/>
    </xf>
    <xf numFmtId="41" fontId="8" fillId="3" borderId="9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44" fontId="0" fillId="3" borderId="10" xfId="17" applyFill="1" applyBorder="1" applyAlignment="1">
      <alignment/>
    </xf>
    <xf numFmtId="44" fontId="0" fillId="3" borderId="10" xfId="0" applyNumberFormat="1" applyFill="1" applyBorder="1" applyAlignment="1">
      <alignment/>
    </xf>
    <xf numFmtId="44" fontId="0" fillId="3" borderId="10" xfId="17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4" fontId="0" fillId="3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/>
    </xf>
    <xf numFmtId="44" fontId="1" fillId="6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44" fontId="1" fillId="6" borderId="10" xfId="17" applyFont="1" applyFill="1" applyBorder="1" applyAlignment="1">
      <alignment horizontal="center"/>
    </xf>
    <xf numFmtId="44" fontId="4" fillId="6" borderId="4" xfId="17" applyFont="1" applyFill="1" applyBorder="1" applyAlignment="1">
      <alignment/>
    </xf>
    <xf numFmtId="44" fontId="4" fillId="3" borderId="22" xfId="17" applyFont="1" applyFill="1" applyBorder="1" applyAlignment="1">
      <alignment/>
    </xf>
    <xf numFmtId="44" fontId="4" fillId="6" borderId="22" xfId="17" applyFont="1" applyFill="1" applyBorder="1" applyAlignment="1">
      <alignment/>
    </xf>
    <xf numFmtId="44" fontId="4" fillId="6" borderId="5" xfId="17" applyFont="1" applyFill="1" applyBorder="1" applyAlignment="1">
      <alignment/>
    </xf>
    <xf numFmtId="9" fontId="0" fillId="3" borderId="0" xfId="19" applyFill="1" applyAlignment="1">
      <alignment/>
    </xf>
    <xf numFmtId="9" fontId="4" fillId="3" borderId="0" xfId="19" applyFont="1" applyFill="1" applyBorder="1" applyAlignment="1">
      <alignment/>
    </xf>
    <xf numFmtId="0" fontId="4" fillId="3" borderId="0" xfId="0" applyFont="1" applyFill="1" applyAlignment="1">
      <alignment/>
    </xf>
    <xf numFmtId="41" fontId="4" fillId="3" borderId="0" xfId="0" applyNumberFormat="1" applyFont="1" applyFill="1" applyAlignment="1">
      <alignment/>
    </xf>
    <xf numFmtId="9" fontId="4" fillId="3" borderId="0" xfId="0" applyNumberFormat="1" applyFont="1" applyFill="1" applyAlignment="1">
      <alignment/>
    </xf>
    <xf numFmtId="44" fontId="4" fillId="3" borderId="0" xfId="17" applyFont="1" applyFill="1" applyAlignment="1">
      <alignment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9" fontId="8" fillId="3" borderId="0" xfId="19" applyFont="1" applyFill="1" applyAlignment="1">
      <alignment/>
    </xf>
    <xf numFmtId="2" fontId="1" fillId="3" borderId="0" xfId="0" applyNumberFormat="1" applyFont="1" applyFill="1" applyAlignment="1">
      <alignment horizontal="left"/>
    </xf>
    <xf numFmtId="44" fontId="0" fillId="3" borderId="0" xfId="17" applyFill="1" applyAlignment="1">
      <alignment/>
    </xf>
    <xf numFmtId="44" fontId="0" fillId="3" borderId="0" xfId="0" applyNumberFormat="1" applyFill="1" applyAlignment="1">
      <alignment/>
    </xf>
    <xf numFmtId="0" fontId="3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3" borderId="61" xfId="0" applyFill="1" applyBorder="1" applyAlignment="1">
      <alignment/>
    </xf>
    <xf numFmtId="0" fontId="0" fillId="3" borderId="62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3" borderId="0" xfId="0" applyFill="1" applyBorder="1" applyAlignment="1">
      <alignment/>
    </xf>
    <xf numFmtId="0" fontId="0" fillId="3" borderId="65" xfId="0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3" fillId="3" borderId="0" xfId="0" applyFont="1" applyFill="1" applyBorder="1" applyAlignment="1">
      <alignment horizontal="left"/>
    </xf>
    <xf numFmtId="0" fontId="26" fillId="3" borderId="69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42" fillId="3" borderId="0" xfId="0" applyNumberFormat="1" applyFont="1" applyFill="1" applyBorder="1" applyAlignment="1" applyProtection="1">
      <alignment horizontal="center"/>
      <protection locked="0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3" fillId="3" borderId="0" xfId="0" applyFont="1" applyFill="1" applyAlignment="1">
      <alignment/>
    </xf>
    <xf numFmtId="0" fontId="33" fillId="3" borderId="73" xfId="0" applyFont="1" applyFill="1" applyBorder="1" applyAlignment="1">
      <alignment/>
    </xf>
    <xf numFmtId="0" fontId="23" fillId="3" borderId="40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 wrapText="1"/>
    </xf>
    <xf numFmtId="0" fontId="23" fillId="3" borderId="7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22" fillId="3" borderId="40" xfId="0" applyFont="1" applyFill="1" applyBorder="1" applyAlignment="1">
      <alignment horizontal="center"/>
    </xf>
    <xf numFmtId="0" fontId="22" fillId="3" borderId="40" xfId="0" applyFont="1" applyFill="1" applyBorder="1" applyAlignment="1">
      <alignment horizontal="center" wrapText="1"/>
    </xf>
    <xf numFmtId="0" fontId="22" fillId="3" borderId="75" xfId="0" applyFont="1" applyFill="1" applyBorder="1" applyAlignment="1">
      <alignment horizontal="center" wrapText="1"/>
    </xf>
    <xf numFmtId="0" fontId="24" fillId="3" borderId="76" xfId="0" applyFont="1" applyFill="1" applyBorder="1" applyAlignment="1">
      <alignment/>
    </xf>
    <xf numFmtId="0" fontId="24" fillId="3" borderId="76" xfId="0" applyFont="1" applyFill="1" applyBorder="1" applyAlignment="1">
      <alignment horizontal="center"/>
    </xf>
    <xf numFmtId="0" fontId="24" fillId="3" borderId="76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24" fillId="3" borderId="43" xfId="0" applyFont="1" applyFill="1" applyBorder="1" applyAlignment="1">
      <alignment/>
    </xf>
    <xf numFmtId="4" fontId="24" fillId="3" borderId="43" xfId="0" applyNumberFormat="1" applyFont="1" applyFill="1" applyBorder="1" applyAlignment="1">
      <alignment/>
    </xf>
    <xf numFmtId="0" fontId="24" fillId="3" borderId="43" xfId="0" applyFont="1" applyFill="1" applyBorder="1" applyAlignment="1">
      <alignment horizontal="center"/>
    </xf>
    <xf numFmtId="0" fontId="0" fillId="9" borderId="77" xfId="0" applyFill="1" applyBorder="1" applyAlignment="1">
      <alignment horizontal="right"/>
    </xf>
    <xf numFmtId="0" fontId="0" fillId="9" borderId="78" xfId="0" applyFill="1" applyBorder="1" applyAlignment="1">
      <alignment/>
    </xf>
    <xf numFmtId="222" fontId="48" fillId="9" borderId="79" xfId="20" applyNumberFormat="1" applyFont="1" applyFill="1" applyBorder="1" applyAlignment="1">
      <alignment/>
    </xf>
    <xf numFmtId="0" fontId="0" fillId="9" borderId="80" xfId="0" applyFill="1" applyBorder="1" applyAlignment="1">
      <alignment/>
    </xf>
    <xf numFmtId="0" fontId="0" fillId="9" borderId="67" xfId="0" applyFill="1" applyBorder="1" applyAlignment="1">
      <alignment horizontal="right"/>
    </xf>
    <xf numFmtId="0" fontId="0" fillId="9" borderId="0" xfId="0" applyFill="1" applyBorder="1" applyAlignment="1">
      <alignment/>
    </xf>
    <xf numFmtId="222" fontId="0" fillId="9" borderId="68" xfId="20" applyNumberFormat="1" applyFont="1" applyFill="1" applyBorder="1" applyAlignment="1">
      <alignment/>
    </xf>
    <xf numFmtId="0" fontId="0" fillId="9" borderId="81" xfId="0" applyFill="1" applyBorder="1" applyAlignment="1">
      <alignment/>
    </xf>
    <xf numFmtId="0" fontId="40" fillId="9" borderId="67" xfId="0" applyFont="1" applyFill="1" applyBorder="1" applyAlignment="1">
      <alignment horizontal="right"/>
    </xf>
    <xf numFmtId="0" fontId="40" fillId="9" borderId="0" xfId="0" applyFont="1" applyFill="1" applyBorder="1" applyAlignment="1">
      <alignment/>
    </xf>
    <xf numFmtId="222" fontId="40" fillId="9" borderId="68" xfId="20" applyNumberFormat="1" applyFont="1" applyFill="1" applyBorder="1" applyAlignment="1">
      <alignment/>
    </xf>
    <xf numFmtId="208" fontId="48" fillId="9" borderId="81" xfId="19" applyNumberFormat="1" applyFont="1" applyFill="1" applyBorder="1" applyAlignment="1">
      <alignment/>
    </xf>
    <xf numFmtId="9" fontId="48" fillId="9" borderId="81" xfId="19" applyFont="1" applyFill="1" applyBorder="1" applyAlignment="1">
      <alignment/>
    </xf>
    <xf numFmtId="0" fontId="40" fillId="9" borderId="70" xfId="0" applyFont="1" applyFill="1" applyBorder="1" applyAlignment="1">
      <alignment horizontal="right"/>
    </xf>
    <xf numFmtId="0" fontId="40" fillId="9" borderId="71" xfId="0" applyFont="1" applyFill="1" applyBorder="1" applyAlignment="1">
      <alignment/>
    </xf>
    <xf numFmtId="0" fontId="0" fillId="9" borderId="71" xfId="0" applyFill="1" applyBorder="1" applyAlignment="1">
      <alignment/>
    </xf>
    <xf numFmtId="222" fontId="40" fillId="9" borderId="72" xfId="20" applyNumberFormat="1" applyFont="1" applyFill="1" applyBorder="1" applyAlignment="1">
      <alignment/>
    </xf>
    <xf numFmtId="208" fontId="40" fillId="9" borderId="82" xfId="19" applyNumberFormat="1" applyFont="1" applyFill="1" applyBorder="1" applyAlignment="1">
      <alignment/>
    </xf>
    <xf numFmtId="0" fontId="24" fillId="3" borderId="43" xfId="0" applyFont="1" applyFill="1" applyBorder="1" applyAlignment="1">
      <alignment horizontal="left"/>
    </xf>
    <xf numFmtId="0" fontId="24" fillId="3" borderId="83" xfId="0" applyFont="1" applyFill="1" applyBorder="1" applyAlignment="1">
      <alignment/>
    </xf>
    <xf numFmtId="4" fontId="24" fillId="3" borderId="83" xfId="0" applyNumberFormat="1" applyFont="1" applyFill="1" applyBorder="1" applyAlignment="1">
      <alignment horizontal="center"/>
    </xf>
    <xf numFmtId="0" fontId="24" fillId="3" borderId="83" xfId="0" applyFont="1" applyFill="1" applyBorder="1" applyAlignment="1">
      <alignment horizontal="center"/>
    </xf>
    <xf numFmtId="4" fontId="9" fillId="3" borderId="40" xfId="0" applyNumberFormat="1" applyFont="1" applyFill="1" applyBorder="1" applyAlignment="1" applyProtection="1">
      <alignment horizontal="center"/>
      <protection locked="0"/>
    </xf>
    <xf numFmtId="1" fontId="9" fillId="3" borderId="84" xfId="0" applyNumberFormat="1" applyFont="1" applyFill="1" applyBorder="1" applyAlignment="1">
      <alignment horizontal="center"/>
    </xf>
    <xf numFmtId="1" fontId="9" fillId="3" borderId="40" xfId="0" applyNumberFormat="1" applyFont="1" applyFill="1" applyBorder="1" applyAlignment="1">
      <alignment horizontal="center"/>
    </xf>
    <xf numFmtId="4" fontId="25" fillId="3" borderId="75" xfId="0" applyNumberFormat="1" applyFont="1" applyFill="1" applyBorder="1" applyAlignment="1" applyProtection="1">
      <alignment horizontal="center"/>
      <protection locked="0"/>
    </xf>
    <xf numFmtId="4" fontId="9" fillId="3" borderId="11" xfId="0" applyNumberFormat="1" applyFont="1" applyFill="1" applyBorder="1" applyAlignment="1" applyProtection="1">
      <alignment/>
      <protection locked="0"/>
    </xf>
    <xf numFmtId="1" fontId="9" fillId="3" borderId="40" xfId="0" applyNumberFormat="1" applyFont="1" applyFill="1" applyBorder="1" applyAlignment="1">
      <alignment horizontal="center"/>
    </xf>
    <xf numFmtId="1" fontId="9" fillId="3" borderId="85" xfId="0" applyNumberFormat="1" applyFont="1" applyFill="1" applyBorder="1" applyAlignment="1">
      <alignment horizontal="center"/>
    </xf>
    <xf numFmtId="4" fontId="25" fillId="3" borderId="75" xfId="0" applyNumberFormat="1" applyFont="1" applyFill="1" applyBorder="1" applyAlignment="1" applyProtection="1">
      <alignment/>
      <protection locked="0"/>
    </xf>
    <xf numFmtId="0" fontId="24" fillId="3" borderId="76" xfId="0" applyFont="1" applyFill="1" applyBorder="1" applyAlignment="1">
      <alignment horizontal="left"/>
    </xf>
    <xf numFmtId="209" fontId="24" fillId="3" borderId="76" xfId="0" applyNumberFormat="1" applyFont="1" applyFill="1" applyBorder="1" applyAlignment="1">
      <alignment horizontal="center"/>
    </xf>
    <xf numFmtId="214" fontId="33" fillId="3" borderId="76" xfId="0" applyNumberFormat="1" applyFont="1" applyFill="1" applyBorder="1" applyAlignment="1">
      <alignment horizontal="center"/>
    </xf>
    <xf numFmtId="214" fontId="33" fillId="3" borderId="76" xfId="0" applyNumberFormat="1" applyFont="1" applyFill="1" applyBorder="1" applyAlignment="1">
      <alignment horizontal="center"/>
    </xf>
    <xf numFmtId="4" fontId="24" fillId="3" borderId="76" xfId="0" applyNumberFormat="1" applyFont="1" applyFill="1" applyBorder="1" applyAlignment="1">
      <alignment horizontal="center"/>
    </xf>
    <xf numFmtId="4" fontId="24" fillId="3" borderId="43" xfId="0" applyNumberFormat="1" applyFont="1" applyFill="1" applyBorder="1" applyAlignment="1">
      <alignment horizontal="center"/>
    </xf>
    <xf numFmtId="0" fontId="24" fillId="3" borderId="4" xfId="0" applyFont="1" applyFill="1" applyBorder="1" applyAlignment="1">
      <alignment horizontal="left"/>
    </xf>
    <xf numFmtId="0" fontId="24" fillId="3" borderId="43" xfId="0" applyFont="1" applyFill="1" applyBorder="1" applyAlignment="1" applyProtection="1">
      <alignment/>
      <protection locked="0"/>
    </xf>
    <xf numFmtId="4" fontId="24" fillId="3" borderId="43" xfId="0" applyNumberFormat="1" applyFont="1" applyFill="1" applyBorder="1" applyAlignment="1">
      <alignment horizontal="center"/>
    </xf>
    <xf numFmtId="214" fontId="33" fillId="3" borderId="43" xfId="0" applyNumberFormat="1" applyFont="1" applyFill="1" applyBorder="1" applyAlignment="1">
      <alignment horizontal="center"/>
    </xf>
    <xf numFmtId="0" fontId="24" fillId="3" borderId="22" xfId="0" applyFont="1" applyFill="1" applyBorder="1" applyAlignment="1">
      <alignment horizontal="left"/>
    </xf>
    <xf numFmtId="0" fontId="24" fillId="3" borderId="22" xfId="0" applyFont="1" applyFill="1" applyBorder="1" applyAlignment="1">
      <alignment horizontal="left"/>
    </xf>
    <xf numFmtId="0" fontId="24" fillId="3" borderId="43" xfId="0" applyFont="1" applyFill="1" applyBorder="1" applyAlignment="1">
      <alignment horizontal="left"/>
    </xf>
    <xf numFmtId="209" fontId="24" fillId="3" borderId="43" xfId="0" applyNumberFormat="1" applyFont="1" applyFill="1" applyBorder="1" applyAlignment="1">
      <alignment horizontal="center"/>
    </xf>
    <xf numFmtId="214" fontId="33" fillId="3" borderId="43" xfId="0" applyNumberFormat="1" applyFont="1" applyFill="1" applyBorder="1" applyAlignment="1">
      <alignment horizontal="center"/>
    </xf>
    <xf numFmtId="0" fontId="24" fillId="3" borderId="43" xfId="0" applyFont="1" applyFill="1" applyBorder="1" applyAlignment="1">
      <alignment horizontal="left"/>
    </xf>
    <xf numFmtId="43" fontId="24" fillId="3" borderId="43" xfId="20" applyFont="1" applyFill="1" applyBorder="1" applyAlignment="1">
      <alignment horizontal="center"/>
    </xf>
    <xf numFmtId="214" fontId="33" fillId="3" borderId="43" xfId="0" applyNumberFormat="1" applyFont="1" applyFill="1" applyBorder="1" applyAlignment="1">
      <alignment horizontal="center"/>
    </xf>
    <xf numFmtId="4" fontId="24" fillId="3" borderId="43" xfId="0" applyNumberFormat="1" applyFont="1" applyFill="1" applyBorder="1" applyAlignment="1">
      <alignment horizontal="left"/>
    </xf>
    <xf numFmtId="4" fontId="24" fillId="3" borderId="86" xfId="0" applyNumberFormat="1" applyFont="1" applyFill="1" applyBorder="1" applyAlignment="1" applyProtection="1">
      <alignment/>
      <protection locked="0"/>
    </xf>
    <xf numFmtId="0" fontId="24" fillId="3" borderId="86" xfId="0" applyFont="1" applyFill="1" applyBorder="1" applyAlignment="1" applyProtection="1">
      <alignment horizontal="center"/>
      <protection locked="0"/>
    </xf>
    <xf numFmtId="2" fontId="24" fillId="3" borderId="86" xfId="0" applyNumberFormat="1" applyFont="1" applyFill="1" applyBorder="1" applyAlignment="1" applyProtection="1">
      <alignment horizontal="center"/>
      <protection locked="0"/>
    </xf>
    <xf numFmtId="4" fontId="49" fillId="3" borderId="86" xfId="0" applyNumberFormat="1" applyFont="1" applyFill="1" applyBorder="1" applyAlignment="1" applyProtection="1">
      <alignment/>
      <protection locked="0"/>
    </xf>
    <xf numFmtId="4" fontId="24" fillId="3" borderId="5" xfId="0" applyNumberFormat="1" applyFont="1" applyFill="1" applyBorder="1" applyAlignment="1" applyProtection="1">
      <alignment/>
      <protection locked="0"/>
    </xf>
    <xf numFmtId="0" fontId="0" fillId="3" borderId="87" xfId="0" applyFill="1" applyBorder="1" applyAlignment="1">
      <alignment/>
    </xf>
    <xf numFmtId="0" fontId="0" fillId="3" borderId="88" xfId="0" applyFill="1" applyBorder="1" applyAlignment="1">
      <alignment/>
    </xf>
    <xf numFmtId="0" fontId="0" fillId="3" borderId="89" xfId="0" applyFill="1" applyBorder="1" applyAlignment="1">
      <alignment/>
    </xf>
    <xf numFmtId="44" fontId="24" fillId="3" borderId="76" xfId="17" applyFont="1" applyFill="1" applyBorder="1" applyAlignment="1">
      <alignment/>
    </xf>
    <xf numFmtId="44" fontId="24" fillId="3" borderId="43" xfId="17" applyFont="1" applyFill="1" applyBorder="1" applyAlignment="1">
      <alignment/>
    </xf>
    <xf numFmtId="213" fontId="22" fillId="3" borderId="35" xfId="0" applyNumberFormat="1" applyFont="1" applyFill="1" applyBorder="1" applyAlignment="1">
      <alignment horizontal="center"/>
    </xf>
    <xf numFmtId="213" fontId="22" fillId="3" borderId="90" xfId="0" applyNumberFormat="1" applyFont="1" applyFill="1" applyBorder="1" applyAlignment="1">
      <alignment horizontal="center"/>
    </xf>
    <xf numFmtId="213" fontId="22" fillId="3" borderId="11" xfId="0" applyNumberFormat="1" applyFont="1" applyFill="1" applyBorder="1" applyAlignment="1">
      <alignment horizontal="center"/>
    </xf>
    <xf numFmtId="213" fontId="22" fillId="3" borderId="75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left" vertical="center" textRotation="91"/>
    </xf>
    <xf numFmtId="0" fontId="13" fillId="3" borderId="5" xfId="0" applyFont="1" applyFill="1" applyBorder="1" applyAlignment="1">
      <alignment horizontal="left" vertical="center" textRotation="91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209" fontId="13" fillId="3" borderId="4" xfId="0" applyNumberFormat="1" applyFont="1" applyFill="1" applyBorder="1" applyAlignment="1">
      <alignment horizontal="center" vertical="center" wrapText="1"/>
    </xf>
    <xf numFmtId="209" fontId="13" fillId="3" borderId="5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/>
    </xf>
    <xf numFmtId="41" fontId="23" fillId="3" borderId="11" xfId="0" applyNumberFormat="1" applyFont="1" applyFill="1" applyBorder="1" applyAlignment="1">
      <alignment horizontal="center"/>
    </xf>
    <xf numFmtId="41" fontId="23" fillId="3" borderId="90" xfId="0" applyNumberFormat="1" applyFont="1" applyFill="1" applyBorder="1" applyAlignment="1">
      <alignment horizontal="center"/>
    </xf>
    <xf numFmtId="41" fontId="23" fillId="3" borderId="75" xfId="0" applyNumberFormat="1" applyFont="1" applyFill="1" applyBorder="1" applyAlignment="1">
      <alignment horizontal="center"/>
    </xf>
    <xf numFmtId="207" fontId="17" fillId="3" borderId="91" xfId="0" applyNumberFormat="1" applyFont="1" applyFill="1" applyBorder="1" applyAlignment="1">
      <alignment horizontal="center"/>
    </xf>
    <xf numFmtId="207" fontId="17" fillId="3" borderId="23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90" xfId="0" applyFont="1" applyFill="1" applyBorder="1" applyAlignment="1">
      <alignment horizontal="center"/>
    </xf>
    <xf numFmtId="0" fontId="1" fillId="6" borderId="75" xfId="0" applyFont="1" applyFill="1" applyBorder="1" applyAlignment="1">
      <alignment horizontal="center"/>
    </xf>
    <xf numFmtId="4" fontId="24" fillId="3" borderId="43" xfId="0" applyNumberFormat="1" applyFont="1" applyFill="1" applyBorder="1" applyAlignment="1">
      <alignment horizontal="center"/>
    </xf>
    <xf numFmtId="4" fontId="24" fillId="3" borderId="92" xfId="0" applyNumberFormat="1" applyFont="1" applyFill="1" applyBorder="1" applyAlignment="1">
      <alignment horizontal="center"/>
    </xf>
    <xf numFmtId="4" fontId="49" fillId="3" borderId="93" xfId="0" applyNumberFormat="1" applyFont="1" applyFill="1" applyBorder="1" applyAlignment="1" applyProtection="1">
      <alignment horizontal="center"/>
      <protection locked="0"/>
    </xf>
    <xf numFmtId="4" fontId="49" fillId="3" borderId="94" xfId="0" applyNumberFormat="1" applyFont="1" applyFill="1" applyBorder="1" applyAlignment="1" applyProtection="1">
      <alignment horizontal="center"/>
      <protection locked="0"/>
    </xf>
    <xf numFmtId="1" fontId="9" fillId="3" borderId="95" xfId="0" applyNumberFormat="1" applyFont="1" applyFill="1" applyBorder="1" applyAlignment="1">
      <alignment horizontal="center"/>
    </xf>
    <xf numFmtId="1" fontId="9" fillId="3" borderId="96" xfId="0" applyNumberFormat="1" applyFont="1" applyFill="1" applyBorder="1" applyAlignment="1">
      <alignment horizontal="center"/>
    </xf>
    <xf numFmtId="4" fontId="24" fillId="3" borderId="0" xfId="0" applyNumberFormat="1" applyFont="1" applyFill="1" applyBorder="1" applyAlignment="1">
      <alignment horizontal="center"/>
    </xf>
    <xf numFmtId="4" fontId="24" fillId="3" borderId="97" xfId="0" applyNumberFormat="1" applyFont="1" applyFill="1" applyBorder="1" applyAlignment="1">
      <alignment horizontal="center"/>
    </xf>
    <xf numFmtId="4" fontId="24" fillId="3" borderId="98" xfId="0" applyNumberFormat="1" applyFont="1" applyFill="1" applyBorder="1" applyAlignment="1">
      <alignment horizontal="center"/>
    </xf>
    <xf numFmtId="4" fontId="24" fillId="3" borderId="1" xfId="0" applyNumberFormat="1" applyFont="1" applyFill="1" applyBorder="1" applyAlignment="1">
      <alignment horizontal="center"/>
    </xf>
    <xf numFmtId="4" fontId="24" fillId="3" borderId="99" xfId="0" applyNumberFormat="1" applyFont="1" applyFill="1" applyBorder="1" applyAlignment="1">
      <alignment horizontal="center"/>
    </xf>
    <xf numFmtId="1" fontId="9" fillId="3" borderId="100" xfId="0" applyNumberFormat="1" applyFont="1" applyFill="1" applyBorder="1" applyAlignment="1">
      <alignment horizontal="center"/>
    </xf>
    <xf numFmtId="1" fontId="9" fillId="3" borderId="96" xfId="0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 wrapText="1"/>
    </xf>
    <xf numFmtId="0" fontId="23" fillId="3" borderId="90" xfId="0" applyFont="1" applyFill="1" applyBorder="1" applyAlignment="1">
      <alignment horizontal="center" wrapText="1"/>
    </xf>
    <xf numFmtId="0" fontId="23" fillId="3" borderId="75" xfId="0" applyFont="1" applyFill="1" applyBorder="1" applyAlignment="1">
      <alignment horizontal="center" wrapText="1"/>
    </xf>
    <xf numFmtId="4" fontId="32" fillId="5" borderId="101" xfId="0" applyNumberFormat="1" applyFont="1" applyFill="1" applyBorder="1" applyAlignment="1" applyProtection="1">
      <alignment horizontal="center"/>
      <protection locked="0"/>
    </xf>
    <xf numFmtId="4" fontId="32" fillId="5" borderId="102" xfId="0" applyNumberFormat="1" applyFont="1" applyFill="1" applyBorder="1" applyAlignment="1" applyProtection="1">
      <alignment horizontal="center"/>
      <protection locked="0"/>
    </xf>
    <xf numFmtId="4" fontId="22" fillId="3" borderId="11" xfId="0" applyNumberFormat="1" applyFont="1" applyFill="1" applyBorder="1" applyAlignment="1">
      <alignment horizontal="center"/>
    </xf>
    <xf numFmtId="4" fontId="22" fillId="3" borderId="90" xfId="0" applyNumberFormat="1" applyFont="1" applyFill="1" applyBorder="1" applyAlignment="1">
      <alignment horizontal="center"/>
    </xf>
    <xf numFmtId="4" fontId="22" fillId="3" borderId="75" xfId="0" applyNumberFormat="1" applyFont="1" applyFill="1" applyBorder="1" applyAlignment="1">
      <alignment horizontal="center"/>
    </xf>
    <xf numFmtId="4" fontId="24" fillId="3" borderId="103" xfId="0" applyNumberFormat="1" applyFont="1" applyFill="1" applyBorder="1" applyAlignment="1">
      <alignment horizontal="center"/>
    </xf>
    <xf numFmtId="4" fontId="24" fillId="3" borderId="46" xfId="0" applyNumberFormat="1" applyFont="1" applyFill="1" applyBorder="1" applyAlignment="1">
      <alignment horizontal="center"/>
    </xf>
    <xf numFmtId="4" fontId="24" fillId="3" borderId="104" xfId="0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90" xfId="0" applyFont="1" applyBorder="1" applyAlignment="1">
      <alignment horizontal="center"/>
    </xf>
    <xf numFmtId="0" fontId="47" fillId="0" borderId="75" xfId="0" applyFont="1" applyBorder="1" applyAlignment="1">
      <alignment horizontal="center"/>
    </xf>
    <xf numFmtId="9" fontId="42" fillId="8" borderId="101" xfId="0" applyNumberFormat="1" applyFont="1" applyFill="1" applyBorder="1" applyAlignment="1" applyProtection="1">
      <alignment horizontal="center"/>
      <protection locked="0"/>
    </xf>
    <xf numFmtId="9" fontId="42" fillId="8" borderId="102" xfId="0" applyNumberFormat="1" applyFont="1" applyFill="1" applyBorder="1" applyAlignment="1" applyProtection="1">
      <alignment horizontal="center"/>
      <protection locked="0"/>
    </xf>
    <xf numFmtId="4" fontId="45" fillId="3" borderId="101" xfId="0" applyNumberFormat="1" applyFont="1" applyFill="1" applyBorder="1" applyAlignment="1" applyProtection="1">
      <alignment horizontal="center"/>
      <protection locked="0"/>
    </xf>
    <xf numFmtId="4" fontId="45" fillId="3" borderId="102" xfId="0" applyNumberFormat="1" applyFont="1" applyFill="1" applyBorder="1" applyAlignment="1" applyProtection="1">
      <alignment horizontal="center"/>
      <protection locked="0"/>
    </xf>
    <xf numFmtId="4" fontId="42" fillId="3" borderId="0" xfId="0" applyNumberFormat="1" applyFont="1" applyFill="1" applyBorder="1" applyAlignment="1" applyProtection="1">
      <alignment horizontal="center"/>
      <protection locked="0"/>
    </xf>
    <xf numFmtId="4" fontId="18" fillId="5" borderId="101" xfId="0" applyNumberFormat="1" applyFont="1" applyFill="1" applyBorder="1" applyAlignment="1" applyProtection="1">
      <alignment horizontal="center"/>
      <protection locked="0"/>
    </xf>
    <xf numFmtId="4" fontId="18" fillId="5" borderId="102" xfId="0" applyNumberFormat="1" applyFont="1" applyFill="1" applyBorder="1" applyAlignment="1" applyProtection="1">
      <alignment horizontal="center"/>
      <protection locked="0"/>
    </xf>
    <xf numFmtId="4" fontId="42" fillId="3" borderId="101" xfId="0" applyNumberFormat="1" applyFont="1" applyFill="1" applyBorder="1" applyAlignment="1" applyProtection="1">
      <alignment horizontal="center"/>
      <protection locked="0"/>
    </xf>
    <xf numFmtId="0" fontId="16" fillId="3" borderId="102" xfId="0" applyFont="1" applyFill="1" applyBorder="1" applyAlignment="1">
      <alignment horizontal="center"/>
    </xf>
    <xf numFmtId="4" fontId="26" fillId="3" borderId="101" xfId="0" applyNumberFormat="1" applyFont="1" applyFill="1" applyBorder="1" applyAlignment="1" applyProtection="1">
      <alignment horizontal="center"/>
      <protection locked="0"/>
    </xf>
    <xf numFmtId="4" fontId="26" fillId="3" borderId="102" xfId="0" applyNumberFormat="1" applyFont="1" applyFill="1" applyBorder="1" applyAlignment="1" applyProtection="1">
      <alignment horizontal="center"/>
      <protection locked="0"/>
    </xf>
    <xf numFmtId="0" fontId="17" fillId="3" borderId="69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9" fontId="42" fillId="8" borderId="100" xfId="0" applyNumberFormat="1" applyFont="1" applyFill="1" applyBorder="1" applyAlignment="1" applyProtection="1">
      <alignment horizontal="center"/>
      <protection locked="0"/>
    </xf>
    <xf numFmtId="9" fontId="42" fillId="8" borderId="74" xfId="0" applyNumberFormat="1" applyFont="1" applyFill="1" applyBorder="1" applyAlignment="1" applyProtection="1">
      <alignment horizontal="center"/>
      <protection locked="0"/>
    </xf>
    <xf numFmtId="4" fontId="26" fillId="3" borderId="100" xfId="0" applyNumberFormat="1" applyFont="1" applyFill="1" applyBorder="1" applyAlignment="1" applyProtection="1">
      <alignment horizontal="center"/>
      <protection locked="0"/>
    </xf>
    <xf numFmtId="4" fontId="26" fillId="3" borderId="74" xfId="0" applyNumberFormat="1" applyFont="1" applyFill="1" applyBorder="1" applyAlignment="1" applyProtection="1">
      <alignment horizontal="center"/>
      <protection locked="0"/>
    </xf>
    <xf numFmtId="0" fontId="41" fillId="3" borderId="105" xfId="0" applyFont="1" applyFill="1" applyBorder="1" applyAlignment="1" applyProtection="1">
      <alignment horizontal="center" vertical="center" wrapText="1"/>
      <protection locked="0"/>
    </xf>
    <xf numFmtId="0" fontId="41" fillId="3" borderId="78" xfId="0" applyFont="1" applyFill="1" applyBorder="1" applyAlignment="1" applyProtection="1">
      <alignment horizontal="center" vertical="center" wrapText="1"/>
      <protection locked="0"/>
    </xf>
    <xf numFmtId="0" fontId="41" fillId="3" borderId="106" xfId="0" applyFont="1" applyFill="1" applyBorder="1" applyAlignment="1" applyProtection="1">
      <alignment horizontal="center" vertical="center" wrapText="1"/>
      <protection locked="0"/>
    </xf>
    <xf numFmtId="0" fontId="41" fillId="3" borderId="69" xfId="0" applyFont="1" applyFill="1" applyBorder="1" applyAlignment="1" applyProtection="1">
      <alignment horizontal="center" vertical="center" wrapText="1"/>
      <protection locked="0"/>
    </xf>
    <xf numFmtId="0" fontId="41" fillId="3" borderId="0" xfId="0" applyFont="1" applyFill="1" applyBorder="1" applyAlignment="1" applyProtection="1">
      <alignment horizontal="center" vertical="center" wrapText="1"/>
      <protection locked="0"/>
    </xf>
    <xf numFmtId="0" fontId="41" fillId="3" borderId="107" xfId="0" applyFont="1" applyFill="1" applyBorder="1" applyAlignment="1" applyProtection="1">
      <alignment horizontal="center" vertical="center" wrapText="1"/>
      <protection locked="0"/>
    </xf>
    <xf numFmtId="0" fontId="44" fillId="0" borderId="6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7" xfId="0" applyFont="1" applyBorder="1" applyAlignment="1">
      <alignment horizontal="center" vertical="center" wrapText="1"/>
    </xf>
    <xf numFmtId="0" fontId="44" fillId="0" borderId="108" xfId="0" applyFont="1" applyBorder="1" applyAlignment="1">
      <alignment horizontal="center" vertical="center" wrapText="1"/>
    </xf>
    <xf numFmtId="0" fontId="44" fillId="0" borderId="109" xfId="0" applyFont="1" applyBorder="1" applyAlignment="1">
      <alignment horizontal="center" vertical="center" wrapText="1"/>
    </xf>
    <xf numFmtId="0" fontId="44" fillId="0" borderId="110" xfId="0" applyFont="1" applyBorder="1" applyAlignment="1">
      <alignment horizontal="center" vertical="center" wrapText="1"/>
    </xf>
    <xf numFmtId="0" fontId="26" fillId="3" borderId="69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4" fontId="45" fillId="3" borderId="100" xfId="0" applyNumberFormat="1" applyFont="1" applyFill="1" applyBorder="1" applyAlignment="1" applyProtection="1">
      <alignment horizontal="center"/>
      <protection locked="0"/>
    </xf>
    <xf numFmtId="4" fontId="45" fillId="3" borderId="74" xfId="0" applyNumberFormat="1" applyFont="1" applyFill="1" applyBorder="1" applyAlignment="1" applyProtection="1">
      <alignment horizontal="center"/>
      <protection locked="0"/>
    </xf>
    <xf numFmtId="0" fontId="31" fillId="3" borderId="0" xfId="0" applyFont="1" applyFill="1" applyBorder="1" applyAlignment="1">
      <alignment horizontal="center" wrapText="1"/>
    </xf>
    <xf numFmtId="0" fontId="3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left" wrapText="1"/>
    </xf>
    <xf numFmtId="0" fontId="40" fillId="0" borderId="111" xfId="0" applyFont="1" applyBorder="1" applyAlignment="1">
      <alignment horizontal="center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  <cellStyle name="Währung" xfId="22"/>
  </cellStyles>
  <dxfs count="2">
    <dxf>
      <font>
        <color rgb="FF993300"/>
      </font>
      <fill>
        <patternFill>
          <bgColor rgb="FFFFFF99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19050</xdr:rowOff>
    </xdr:from>
    <xdr:to>
      <xdr:col>15</xdr:col>
      <xdr:colOff>0</xdr:colOff>
      <xdr:row>17</xdr:row>
      <xdr:rowOff>19050</xdr:rowOff>
    </xdr:to>
    <xdr:sp>
      <xdr:nvSpPr>
        <xdr:cNvPr id="1" name="Conector reto 1"/>
        <xdr:cNvSpPr>
          <a:spLocks/>
        </xdr:cNvSpPr>
      </xdr:nvSpPr>
      <xdr:spPr>
        <a:xfrm>
          <a:off x="10734675" y="3105150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9525</xdr:rowOff>
    </xdr:from>
    <xdr:to>
      <xdr:col>15</xdr:col>
      <xdr:colOff>9525</xdr:colOff>
      <xdr:row>20</xdr:row>
      <xdr:rowOff>9525</xdr:rowOff>
    </xdr:to>
    <xdr:sp>
      <xdr:nvSpPr>
        <xdr:cNvPr id="2" name="Conector reto 2"/>
        <xdr:cNvSpPr>
          <a:spLocks/>
        </xdr:cNvSpPr>
      </xdr:nvSpPr>
      <xdr:spPr>
        <a:xfrm>
          <a:off x="10744200" y="3695700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workbookViewId="0" topLeftCell="A1">
      <pane xSplit="4" ySplit="3" topLeftCell="E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3" sqref="C43"/>
    </sheetView>
  </sheetViews>
  <sheetFormatPr defaultColWidth="9.140625" defaultRowHeight="12.75"/>
  <cols>
    <col min="1" max="1" width="0.9921875" style="26" customWidth="1"/>
    <col min="2" max="2" width="19.8515625" style="26" customWidth="1"/>
    <col min="3" max="3" width="19.7109375" style="26" customWidth="1"/>
    <col min="4" max="4" width="14.7109375" style="27" customWidth="1"/>
    <col min="5" max="5" width="10.8515625" style="26" bestFit="1" customWidth="1"/>
    <col min="6" max="7" width="9.7109375" style="26" bestFit="1" customWidth="1"/>
    <col min="8" max="8" width="9.57421875" style="26" customWidth="1"/>
    <col min="9" max="9" width="9.7109375" style="26" customWidth="1"/>
    <col min="10" max="10" width="11.140625" style="26" customWidth="1"/>
    <col min="11" max="11" width="10.00390625" style="26" customWidth="1"/>
    <col min="12" max="12" width="9.421875" style="26" bestFit="1" customWidth="1"/>
    <col min="13" max="13" width="12.28125" style="28" bestFit="1" customWidth="1"/>
    <col min="14" max="14" width="10.421875" style="26" bestFit="1" customWidth="1"/>
    <col min="15" max="15" width="9.140625" style="26" bestFit="1" customWidth="1"/>
    <col min="16" max="16" width="10.28125" style="26" bestFit="1" customWidth="1"/>
    <col min="17" max="17" width="10.421875" style="29" bestFit="1" customWidth="1"/>
    <col min="18" max="18" width="8.421875" style="26" customWidth="1"/>
  </cols>
  <sheetData>
    <row r="1" spans="13:19" ht="13.5" thickBot="1">
      <c r="M1" s="26"/>
      <c r="N1" s="28"/>
      <c r="Q1" s="26"/>
      <c r="R1" s="29"/>
      <c r="S1" s="26"/>
    </row>
    <row r="2" spans="1:19" s="34" customFormat="1" ht="12.75">
      <c r="A2" s="26"/>
      <c r="B2" s="437" t="s">
        <v>38</v>
      </c>
      <c r="C2" s="437" t="s">
        <v>141</v>
      </c>
      <c r="D2" s="435" t="s">
        <v>117</v>
      </c>
      <c r="E2" s="439" t="s">
        <v>127</v>
      </c>
      <c r="F2" s="30" t="s">
        <v>39</v>
      </c>
      <c r="G2" s="30" t="s">
        <v>40</v>
      </c>
      <c r="H2" s="30" t="s">
        <v>41</v>
      </c>
      <c r="I2" s="30" t="s">
        <v>42</v>
      </c>
      <c r="J2" s="30" t="s">
        <v>22</v>
      </c>
      <c r="K2" s="30" t="s">
        <v>43</v>
      </c>
      <c r="L2" s="220" t="s">
        <v>44</v>
      </c>
      <c r="M2" s="31" t="s">
        <v>45</v>
      </c>
      <c r="N2" s="30" t="s">
        <v>43</v>
      </c>
      <c r="O2" s="31" t="s">
        <v>46</v>
      </c>
      <c r="P2" s="32" t="s">
        <v>47</v>
      </c>
      <c r="Q2" s="30" t="s">
        <v>48</v>
      </c>
      <c r="R2" s="33" t="s">
        <v>49</v>
      </c>
      <c r="S2" s="183"/>
    </row>
    <row r="3" spans="1:19" s="34" customFormat="1" ht="18.75" customHeight="1" thickBot="1">
      <c r="A3" s="26"/>
      <c r="B3" s="438"/>
      <c r="C3" s="438"/>
      <c r="D3" s="436"/>
      <c r="E3" s="440"/>
      <c r="F3" s="36"/>
      <c r="G3" s="37">
        <v>0.08</v>
      </c>
      <c r="H3" s="35" t="s">
        <v>139</v>
      </c>
      <c r="I3" s="35" t="s">
        <v>50</v>
      </c>
      <c r="J3" s="281">
        <v>7</v>
      </c>
      <c r="K3" s="35" t="s">
        <v>91</v>
      </c>
      <c r="L3" s="36">
        <v>0.0765</v>
      </c>
      <c r="M3" s="37">
        <v>0.08</v>
      </c>
      <c r="N3" s="35" t="s">
        <v>51</v>
      </c>
      <c r="O3" s="36">
        <v>0.0765</v>
      </c>
      <c r="P3" s="37">
        <v>0.08</v>
      </c>
      <c r="Q3" s="35" t="s">
        <v>52</v>
      </c>
      <c r="R3" s="38">
        <f>(22*8)</f>
        <v>176</v>
      </c>
      <c r="S3" s="186" t="s">
        <v>92</v>
      </c>
    </row>
    <row r="4" spans="1:19" s="47" customFormat="1" ht="18" customHeight="1" thickBot="1">
      <c r="A4" s="39"/>
      <c r="B4" s="297" t="s">
        <v>210</v>
      </c>
      <c r="C4" s="297" t="s">
        <v>209</v>
      </c>
      <c r="D4" s="298" t="s">
        <v>33</v>
      </c>
      <c r="E4" s="289">
        <v>1000</v>
      </c>
      <c r="F4" s="289">
        <v>0</v>
      </c>
      <c r="G4" s="289">
        <f>+E4*$G$3</f>
        <v>80</v>
      </c>
      <c r="H4" s="289">
        <v>27.72</v>
      </c>
      <c r="I4" s="289">
        <v>0</v>
      </c>
      <c r="J4" s="289">
        <f>$J$3*22</f>
        <v>154</v>
      </c>
      <c r="K4" s="289">
        <f aca="true" t="shared" si="0" ref="K4:K15">(E4+(E4/3))/12</f>
        <v>111.1111111111111</v>
      </c>
      <c r="L4" s="289">
        <v>0</v>
      </c>
      <c r="M4" s="289">
        <f>+K4*$M$3</f>
        <v>8.888888888888888</v>
      </c>
      <c r="N4" s="289">
        <f aca="true" t="shared" si="1" ref="N4:N15">+E4/12</f>
        <v>83.33333333333333</v>
      </c>
      <c r="O4" s="289">
        <v>0</v>
      </c>
      <c r="P4" s="289">
        <f aca="true" t="shared" si="2" ref="P4:P15">+N4*$P$3</f>
        <v>6.666666666666666</v>
      </c>
      <c r="Q4" s="289">
        <f aca="true" t="shared" si="3" ref="Q4:Q15">SUM(E4:P4)</f>
        <v>1471.72</v>
      </c>
      <c r="R4" s="299">
        <f>(Q4/$R$3)</f>
        <v>8.362045454545454</v>
      </c>
      <c r="S4" s="300">
        <f>(Q4/$Q$24)</f>
        <v>0.08710345443924473</v>
      </c>
    </row>
    <row r="5" spans="1:19" s="47" customFormat="1" ht="18" customHeight="1" thickBot="1">
      <c r="A5" s="39"/>
      <c r="B5" s="167" t="s">
        <v>211</v>
      </c>
      <c r="C5" s="167" t="s">
        <v>209</v>
      </c>
      <c r="D5" s="168" t="s">
        <v>125</v>
      </c>
      <c r="E5" s="169">
        <v>600</v>
      </c>
      <c r="F5" s="169">
        <v>0</v>
      </c>
      <c r="G5" s="169">
        <f>+E5*$G$3</f>
        <v>48</v>
      </c>
      <c r="H5" s="169">
        <f>27.72*0.7</f>
        <v>19.403999999999996</v>
      </c>
      <c r="I5" s="169">
        <v>0</v>
      </c>
      <c r="J5" s="169">
        <f aca="true" t="shared" si="4" ref="J5:J15">$J$3*22</f>
        <v>154</v>
      </c>
      <c r="K5" s="169">
        <f t="shared" si="0"/>
        <v>66.66666666666667</v>
      </c>
      <c r="L5" s="169">
        <v>0</v>
      </c>
      <c r="M5" s="169">
        <f>+K5*$M$3</f>
        <v>5.333333333333334</v>
      </c>
      <c r="N5" s="169">
        <f t="shared" si="1"/>
        <v>50</v>
      </c>
      <c r="O5" s="169">
        <v>0</v>
      </c>
      <c r="P5" s="169">
        <f t="shared" si="2"/>
        <v>4</v>
      </c>
      <c r="Q5" s="169">
        <f t="shared" si="3"/>
        <v>947.404</v>
      </c>
      <c r="R5" s="165">
        <f>(Q5/$R$3)</f>
        <v>5.382977272727273</v>
      </c>
      <c r="S5" s="184">
        <f>(Q5/$Q$24)</f>
        <v>0.056071916634657555</v>
      </c>
    </row>
    <row r="6" spans="1:19" s="47" customFormat="1" ht="18" customHeight="1" thickBot="1">
      <c r="A6" s="39"/>
      <c r="B6" s="297" t="s">
        <v>212</v>
      </c>
      <c r="C6" s="297" t="s">
        <v>209</v>
      </c>
      <c r="D6" s="298" t="s">
        <v>123</v>
      </c>
      <c r="E6" s="289">
        <f>800*0.6</f>
        <v>480</v>
      </c>
      <c r="F6" s="289">
        <v>0</v>
      </c>
      <c r="G6" s="289">
        <f>+E6*$G$3</f>
        <v>38.4</v>
      </c>
      <c r="H6" s="289">
        <f>55.44*0.6</f>
        <v>33.263999999999996</v>
      </c>
      <c r="I6" s="289">
        <v>0</v>
      </c>
      <c r="J6" s="289">
        <f t="shared" si="4"/>
        <v>154</v>
      </c>
      <c r="K6" s="289">
        <f t="shared" si="0"/>
        <v>53.333333333333336</v>
      </c>
      <c r="L6" s="289">
        <v>0</v>
      </c>
      <c r="M6" s="289">
        <f>+K6*$M$3</f>
        <v>4.266666666666667</v>
      </c>
      <c r="N6" s="289">
        <f t="shared" si="1"/>
        <v>40</v>
      </c>
      <c r="O6" s="289">
        <v>0</v>
      </c>
      <c r="P6" s="289">
        <f t="shared" si="2"/>
        <v>3.2</v>
      </c>
      <c r="Q6" s="289">
        <f t="shared" si="3"/>
        <v>806.464</v>
      </c>
      <c r="R6" s="299">
        <f>(Q6/$R$3)</f>
        <v>4.582181818181819</v>
      </c>
      <c r="S6" s="300">
        <f>(Q6/$Q$24)</f>
        <v>0.04773041086680284</v>
      </c>
    </row>
    <row r="7" spans="1:19" s="47" customFormat="1" ht="18" customHeight="1" thickBot="1">
      <c r="A7" s="247"/>
      <c r="B7" s="167" t="s">
        <v>213</v>
      </c>
      <c r="C7" s="167" t="s">
        <v>209</v>
      </c>
      <c r="D7" s="168" t="s">
        <v>121</v>
      </c>
      <c r="E7" s="169">
        <v>1500</v>
      </c>
      <c r="F7" s="169">
        <f>(E7*0.258)</f>
        <v>387</v>
      </c>
      <c r="G7" s="169">
        <f aca="true" t="shared" si="5" ref="G7:G15">+E7*$G$3</f>
        <v>120</v>
      </c>
      <c r="H7" s="169">
        <v>110.88</v>
      </c>
      <c r="I7" s="169">
        <v>100</v>
      </c>
      <c r="J7" s="169">
        <f t="shared" si="4"/>
        <v>154</v>
      </c>
      <c r="K7" s="169">
        <f t="shared" si="0"/>
        <v>166.66666666666666</v>
      </c>
      <c r="L7" s="169">
        <f>+K7*0.258</f>
        <v>43</v>
      </c>
      <c r="M7" s="169">
        <f>+K7*$M$3</f>
        <v>13.333333333333332</v>
      </c>
      <c r="N7" s="169">
        <f t="shared" si="1"/>
        <v>125</v>
      </c>
      <c r="O7" s="169">
        <f>+N7*0.258</f>
        <v>32.25</v>
      </c>
      <c r="P7" s="169">
        <f t="shared" si="2"/>
        <v>10</v>
      </c>
      <c r="Q7" s="169">
        <f t="shared" si="3"/>
        <v>2762.13</v>
      </c>
      <c r="R7" s="165">
        <f>((Q7+Q8)/2)/$R$3</f>
        <v>10.739857954545455</v>
      </c>
      <c r="S7" s="184">
        <f>(Q7+Q8)/$Q$24</f>
        <v>0.2237439949621898</v>
      </c>
    </row>
    <row r="8" spans="1:19" s="47" customFormat="1" ht="18" customHeight="1" thickBot="1">
      <c r="A8" s="247"/>
      <c r="B8" s="167" t="s">
        <v>214</v>
      </c>
      <c r="C8" s="167" t="s">
        <v>209</v>
      </c>
      <c r="D8" s="168" t="s">
        <v>121</v>
      </c>
      <c r="E8" s="169">
        <v>670</v>
      </c>
      <c r="F8" s="169">
        <f aca="true" t="shared" si="6" ref="F8:F15">+E8*$F$3</f>
        <v>0</v>
      </c>
      <c r="G8" s="169">
        <f t="shared" si="5"/>
        <v>53.6</v>
      </c>
      <c r="H8" s="169">
        <v>0</v>
      </c>
      <c r="I8" s="169">
        <v>0</v>
      </c>
      <c r="J8" s="169">
        <f t="shared" si="4"/>
        <v>154</v>
      </c>
      <c r="K8" s="169">
        <f t="shared" si="0"/>
        <v>74.44444444444444</v>
      </c>
      <c r="L8" s="169">
        <v>0</v>
      </c>
      <c r="M8" s="169">
        <f aca="true" t="shared" si="7" ref="M8:M15">+K8*$M$3</f>
        <v>5.955555555555556</v>
      </c>
      <c r="N8" s="169">
        <f t="shared" si="1"/>
        <v>55.833333333333336</v>
      </c>
      <c r="O8" s="169">
        <v>0</v>
      </c>
      <c r="P8" s="169">
        <f t="shared" si="2"/>
        <v>4.466666666666667</v>
      </c>
      <c r="Q8" s="169">
        <f t="shared" si="3"/>
        <v>1018.3000000000001</v>
      </c>
      <c r="R8" s="165"/>
      <c r="S8" s="184"/>
    </row>
    <row r="9" spans="1:19" s="47" customFormat="1" ht="18" customHeight="1" thickBot="1">
      <c r="A9" s="247"/>
      <c r="B9" s="297" t="s">
        <v>215</v>
      </c>
      <c r="C9" s="297" t="s">
        <v>209</v>
      </c>
      <c r="D9" s="298" t="s">
        <v>124</v>
      </c>
      <c r="E9" s="289">
        <v>840</v>
      </c>
      <c r="F9" s="289">
        <f t="shared" si="6"/>
        <v>0</v>
      </c>
      <c r="G9" s="289">
        <f t="shared" si="5"/>
        <v>67.2</v>
      </c>
      <c r="H9" s="289">
        <v>83.16</v>
      </c>
      <c r="I9" s="289">
        <v>0</v>
      </c>
      <c r="J9" s="289">
        <f t="shared" si="4"/>
        <v>154</v>
      </c>
      <c r="K9" s="289">
        <f t="shared" si="0"/>
        <v>93.33333333333333</v>
      </c>
      <c r="L9" s="289">
        <v>0</v>
      </c>
      <c r="M9" s="289">
        <f t="shared" si="7"/>
        <v>7.466666666666667</v>
      </c>
      <c r="N9" s="289">
        <f t="shared" si="1"/>
        <v>70</v>
      </c>
      <c r="O9" s="289">
        <v>0</v>
      </c>
      <c r="P9" s="289">
        <f t="shared" si="2"/>
        <v>5.6000000000000005</v>
      </c>
      <c r="Q9" s="289">
        <f t="shared" si="3"/>
        <v>1320.76</v>
      </c>
      <c r="R9" s="299">
        <f>(Q9/$R$3)</f>
        <v>7.504318181818181</v>
      </c>
      <c r="S9" s="300">
        <f>(Q9/$Q$24)</f>
        <v>0.07816891697141908</v>
      </c>
    </row>
    <row r="10" spans="1:19" s="47" customFormat="1" ht="18" customHeight="1" thickBot="1">
      <c r="A10" s="39"/>
      <c r="B10" s="167" t="s">
        <v>216</v>
      </c>
      <c r="C10" s="167" t="s">
        <v>209</v>
      </c>
      <c r="D10" s="168" t="s">
        <v>126</v>
      </c>
      <c r="E10" s="169">
        <v>750</v>
      </c>
      <c r="F10" s="169">
        <f t="shared" si="6"/>
        <v>0</v>
      </c>
      <c r="G10" s="169">
        <f t="shared" si="5"/>
        <v>60</v>
      </c>
      <c r="H10" s="169">
        <v>110.88</v>
      </c>
      <c r="I10" s="169">
        <v>0</v>
      </c>
      <c r="J10" s="169">
        <f t="shared" si="4"/>
        <v>154</v>
      </c>
      <c r="K10" s="169">
        <f t="shared" si="0"/>
        <v>83.33333333333333</v>
      </c>
      <c r="L10" s="169">
        <v>0</v>
      </c>
      <c r="M10" s="169">
        <f t="shared" si="7"/>
        <v>6.666666666666666</v>
      </c>
      <c r="N10" s="169">
        <f t="shared" si="1"/>
        <v>62.5</v>
      </c>
      <c r="O10" s="169">
        <v>0</v>
      </c>
      <c r="P10" s="169">
        <f t="shared" si="2"/>
        <v>5</v>
      </c>
      <c r="Q10" s="169">
        <f t="shared" si="3"/>
        <v>1232.38</v>
      </c>
      <c r="R10" s="165">
        <f>(Q10/$R$3)</f>
        <v>7.002159090909092</v>
      </c>
      <c r="S10" s="184">
        <f>(Q10/$Q$24)</f>
        <v>0.07293816431239396</v>
      </c>
    </row>
    <row r="11" spans="1:19" s="47" customFormat="1" ht="18" customHeight="1" thickBot="1">
      <c r="A11" s="39"/>
      <c r="B11" s="297" t="s">
        <v>217</v>
      </c>
      <c r="C11" s="297" t="s">
        <v>209</v>
      </c>
      <c r="D11" s="298" t="s">
        <v>122</v>
      </c>
      <c r="E11" s="289">
        <v>1600</v>
      </c>
      <c r="F11" s="289">
        <f t="shared" si="6"/>
        <v>0</v>
      </c>
      <c r="G11" s="289">
        <f t="shared" si="5"/>
        <v>128</v>
      </c>
      <c r="H11" s="289">
        <v>110.88</v>
      </c>
      <c r="I11" s="289">
        <v>206</v>
      </c>
      <c r="J11" s="289">
        <f t="shared" si="4"/>
        <v>154</v>
      </c>
      <c r="K11" s="289">
        <f t="shared" si="0"/>
        <v>177.7777777777778</v>
      </c>
      <c r="L11" s="289">
        <v>0</v>
      </c>
      <c r="M11" s="289">
        <f t="shared" si="7"/>
        <v>14.222222222222225</v>
      </c>
      <c r="N11" s="289">
        <f t="shared" si="1"/>
        <v>133.33333333333334</v>
      </c>
      <c r="O11" s="289">
        <v>0</v>
      </c>
      <c r="P11" s="289">
        <f t="shared" si="2"/>
        <v>10.666666666666668</v>
      </c>
      <c r="Q11" s="289">
        <f t="shared" si="3"/>
        <v>2534.88</v>
      </c>
      <c r="R11" s="299">
        <f>((Q11+Q12+Q13)/3)/$R$3</f>
        <v>10.508674242424242</v>
      </c>
      <c r="S11" s="300">
        <f>(Q11+Q12+Q13)/$Q$24</f>
        <v>0.32839159978291016</v>
      </c>
    </row>
    <row r="12" spans="1:19" s="34" customFormat="1" ht="18" customHeight="1" thickBot="1">
      <c r="A12" s="39"/>
      <c r="B12" s="297" t="s">
        <v>218</v>
      </c>
      <c r="C12" s="297" t="s">
        <v>209</v>
      </c>
      <c r="D12" s="298" t="s">
        <v>122</v>
      </c>
      <c r="E12" s="289">
        <v>1150</v>
      </c>
      <c r="F12" s="289">
        <f t="shared" si="6"/>
        <v>0</v>
      </c>
      <c r="G12" s="289">
        <f t="shared" si="5"/>
        <v>92</v>
      </c>
      <c r="H12" s="289">
        <v>83.16</v>
      </c>
      <c r="I12" s="289">
        <v>0</v>
      </c>
      <c r="J12" s="289">
        <f t="shared" si="4"/>
        <v>154</v>
      </c>
      <c r="K12" s="289">
        <f t="shared" si="0"/>
        <v>127.77777777777777</v>
      </c>
      <c r="L12" s="289">
        <v>0</v>
      </c>
      <c r="M12" s="289">
        <f t="shared" si="7"/>
        <v>10.222222222222221</v>
      </c>
      <c r="N12" s="289">
        <f t="shared" si="1"/>
        <v>95.83333333333333</v>
      </c>
      <c r="O12" s="289">
        <v>0</v>
      </c>
      <c r="P12" s="289">
        <f t="shared" si="2"/>
        <v>7.666666666666666</v>
      </c>
      <c r="Q12" s="289">
        <f t="shared" si="3"/>
        <v>1720.66</v>
      </c>
      <c r="R12" s="299"/>
      <c r="S12" s="300"/>
    </row>
    <row r="13" spans="1:19" s="47" customFormat="1" ht="18" customHeight="1" thickBot="1">
      <c r="A13" s="39"/>
      <c r="B13" s="297" t="s">
        <v>219</v>
      </c>
      <c r="C13" s="297" t="s">
        <v>209</v>
      </c>
      <c r="D13" s="298" t="s">
        <v>122</v>
      </c>
      <c r="E13" s="289">
        <v>840</v>
      </c>
      <c r="F13" s="289">
        <f t="shared" si="6"/>
        <v>0</v>
      </c>
      <c r="G13" s="289">
        <f t="shared" si="5"/>
        <v>67.2</v>
      </c>
      <c r="H13" s="289">
        <v>55.44</v>
      </c>
      <c r="I13" s="289">
        <v>0</v>
      </c>
      <c r="J13" s="289">
        <f t="shared" si="4"/>
        <v>154</v>
      </c>
      <c r="K13" s="289">
        <f t="shared" si="0"/>
        <v>93.33333333333333</v>
      </c>
      <c r="L13" s="289">
        <v>0</v>
      </c>
      <c r="M13" s="289">
        <f t="shared" si="7"/>
        <v>7.466666666666667</v>
      </c>
      <c r="N13" s="289">
        <f t="shared" si="1"/>
        <v>70</v>
      </c>
      <c r="O13" s="289">
        <v>0</v>
      </c>
      <c r="P13" s="289">
        <f t="shared" si="2"/>
        <v>5.6000000000000005</v>
      </c>
      <c r="Q13" s="289">
        <f t="shared" si="3"/>
        <v>1293.04</v>
      </c>
      <c r="R13" s="299"/>
      <c r="S13" s="300"/>
    </row>
    <row r="14" spans="1:19" s="47" customFormat="1" ht="18" customHeight="1" thickBot="1">
      <c r="A14" s="39"/>
      <c r="B14" s="167" t="s">
        <v>220</v>
      </c>
      <c r="C14" s="167" t="s">
        <v>209</v>
      </c>
      <c r="D14" s="168" t="s">
        <v>128</v>
      </c>
      <c r="E14" s="169">
        <v>500</v>
      </c>
      <c r="F14" s="169">
        <f t="shared" si="6"/>
        <v>0</v>
      </c>
      <c r="G14" s="169">
        <f t="shared" si="5"/>
        <v>40</v>
      </c>
      <c r="H14" s="169">
        <f>55.44*0.4</f>
        <v>22.176000000000002</v>
      </c>
      <c r="I14" s="169">
        <v>0</v>
      </c>
      <c r="J14" s="169">
        <f t="shared" si="4"/>
        <v>154</v>
      </c>
      <c r="K14" s="169">
        <f t="shared" si="0"/>
        <v>55.55555555555555</v>
      </c>
      <c r="L14" s="169">
        <v>0</v>
      </c>
      <c r="M14" s="169">
        <f t="shared" si="7"/>
        <v>4.444444444444444</v>
      </c>
      <c r="N14" s="169">
        <f t="shared" si="1"/>
        <v>41.666666666666664</v>
      </c>
      <c r="O14" s="169">
        <v>0</v>
      </c>
      <c r="P14" s="169">
        <f t="shared" si="2"/>
        <v>3.333333333333333</v>
      </c>
      <c r="Q14" s="169">
        <f t="shared" si="3"/>
        <v>821.176</v>
      </c>
      <c r="R14" s="165">
        <f>(Q14/$R$3)</f>
        <v>4.665772727272728</v>
      </c>
      <c r="S14" s="184">
        <f>(Q14/$Q$24)</f>
        <v>0.048601137650233224</v>
      </c>
    </row>
    <row r="15" spans="1:19" s="47" customFormat="1" ht="18" customHeight="1" thickBot="1">
      <c r="A15" s="39"/>
      <c r="B15" s="297" t="s">
        <v>221</v>
      </c>
      <c r="C15" s="297" t="s">
        <v>209</v>
      </c>
      <c r="D15" s="298" t="s">
        <v>140</v>
      </c>
      <c r="E15" s="289">
        <v>500</v>
      </c>
      <c r="F15" s="289">
        <f t="shared" si="6"/>
        <v>0</v>
      </c>
      <c r="G15" s="289">
        <f t="shared" si="5"/>
        <v>40</v>
      </c>
      <c r="H15" s="289">
        <f>27.72*0.3</f>
        <v>8.315999999999999</v>
      </c>
      <c r="I15" s="289">
        <v>160</v>
      </c>
      <c r="J15" s="289">
        <f t="shared" si="4"/>
        <v>154</v>
      </c>
      <c r="K15" s="289">
        <f t="shared" si="0"/>
        <v>55.55555555555555</v>
      </c>
      <c r="L15" s="289">
        <v>0</v>
      </c>
      <c r="M15" s="289">
        <f t="shared" si="7"/>
        <v>4.444444444444444</v>
      </c>
      <c r="N15" s="289">
        <f t="shared" si="1"/>
        <v>41.666666666666664</v>
      </c>
      <c r="O15" s="289">
        <v>0</v>
      </c>
      <c r="P15" s="289">
        <f t="shared" si="2"/>
        <v>3.333333333333333</v>
      </c>
      <c r="Q15" s="289">
        <f t="shared" si="3"/>
        <v>967.316</v>
      </c>
      <c r="R15" s="299">
        <f>(Q15/$R$3)</f>
        <v>5.496113636363637</v>
      </c>
      <c r="S15" s="300">
        <f>(Q15/$Q$24)</f>
        <v>0.05725040438014871</v>
      </c>
    </row>
    <row r="16" spans="1:19" s="47" customFormat="1" ht="18" customHeight="1" thickBot="1">
      <c r="A16" s="39"/>
      <c r="B16" s="167"/>
      <c r="C16" s="167"/>
      <c r="D16" s="168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5"/>
      <c r="S16" s="184"/>
    </row>
    <row r="17" spans="1:19" s="47" customFormat="1" ht="18" customHeight="1" thickBot="1">
      <c r="A17" s="39"/>
      <c r="B17" s="167"/>
      <c r="C17" s="167"/>
      <c r="D17" s="168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5"/>
      <c r="S17" s="184"/>
    </row>
    <row r="18" spans="1:19" s="47" customFormat="1" ht="18" customHeight="1" thickBot="1">
      <c r="A18" s="39"/>
      <c r="B18" s="167"/>
      <c r="C18" s="167"/>
      <c r="D18" s="168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5"/>
      <c r="S18" s="184"/>
    </row>
    <row r="19" spans="1:19" s="47" customFormat="1" ht="18" customHeight="1" thickBot="1">
      <c r="A19" s="39"/>
      <c r="B19" s="167"/>
      <c r="C19" s="167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5"/>
      <c r="S19" s="184"/>
    </row>
    <row r="20" spans="1:19" s="47" customFormat="1" ht="18" customHeight="1" thickBot="1">
      <c r="A20" s="39"/>
      <c r="B20" s="167"/>
      <c r="C20" s="167"/>
      <c r="D20" s="168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5"/>
      <c r="S20" s="184"/>
    </row>
    <row r="21" spans="1:19" s="47" customFormat="1" ht="18" customHeight="1" thickBot="1">
      <c r="A21" s="39"/>
      <c r="B21" s="167"/>
      <c r="C21" s="167"/>
      <c r="D21" s="168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5"/>
      <c r="S21" s="184"/>
    </row>
    <row r="22" spans="1:19" s="47" customFormat="1" ht="18" customHeight="1" thickBot="1">
      <c r="A22" s="39"/>
      <c r="B22" s="167"/>
      <c r="C22" s="167"/>
      <c r="D22" s="168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5"/>
      <c r="S22" s="184"/>
    </row>
    <row r="23" spans="1:19" s="47" customFormat="1" ht="18" customHeight="1" thickBot="1">
      <c r="A23" s="39"/>
      <c r="B23" s="167"/>
      <c r="C23" s="167"/>
      <c r="D23" s="168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5"/>
      <c r="S23" s="184"/>
    </row>
    <row r="24" spans="1:19" s="54" customFormat="1" ht="15" customHeight="1" thickBot="1">
      <c r="A24" s="53"/>
      <c r="B24" s="160"/>
      <c r="C24" s="160"/>
      <c r="D24" s="161" t="s">
        <v>53</v>
      </c>
      <c r="E24" s="58">
        <f aca="true" t="shared" si="8" ref="E24:Q24">SUM(E4:E23)</f>
        <v>10430</v>
      </c>
      <c r="F24" s="58">
        <f t="shared" si="8"/>
        <v>387</v>
      </c>
      <c r="G24" s="58">
        <f t="shared" si="8"/>
        <v>834.4000000000001</v>
      </c>
      <c r="H24" s="58">
        <f t="shared" si="8"/>
        <v>665.2800000000001</v>
      </c>
      <c r="I24" s="58">
        <f t="shared" si="8"/>
        <v>466</v>
      </c>
      <c r="J24" s="58">
        <f t="shared" si="8"/>
        <v>1848</v>
      </c>
      <c r="K24" s="58">
        <f t="shared" si="8"/>
        <v>1158.8888888888891</v>
      </c>
      <c r="L24" s="58">
        <f t="shared" si="8"/>
        <v>43</v>
      </c>
      <c r="M24" s="58">
        <f t="shared" si="8"/>
        <v>92.71111111111111</v>
      </c>
      <c r="N24" s="58">
        <f t="shared" si="8"/>
        <v>869.1666666666666</v>
      </c>
      <c r="O24" s="58">
        <f t="shared" si="8"/>
        <v>32.25</v>
      </c>
      <c r="P24" s="58">
        <f t="shared" si="8"/>
        <v>69.53333333333333</v>
      </c>
      <c r="Q24" s="58">
        <f t="shared" si="8"/>
        <v>16896.23</v>
      </c>
      <c r="R24" s="166"/>
      <c r="S24" s="185">
        <f>SUM(S4:S23)</f>
        <v>1</v>
      </c>
    </row>
    <row r="25" spans="1:18" s="54" customFormat="1" ht="15" customHeight="1" thickBot="1">
      <c r="A25" s="53"/>
      <c r="B25" s="160"/>
      <c r="C25" s="160"/>
      <c r="D25" s="161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8"/>
      <c r="R25" s="53"/>
    </row>
    <row r="26" spans="1:19" s="34" customFormat="1" ht="18" customHeight="1">
      <c r="A26" s="39"/>
      <c r="B26" s="40" t="s">
        <v>223</v>
      </c>
      <c r="C26" s="282" t="s">
        <v>222</v>
      </c>
      <c r="D26" s="41" t="s">
        <v>119</v>
      </c>
      <c r="E26" s="42">
        <v>1700</v>
      </c>
      <c r="F26" s="42">
        <v>0</v>
      </c>
      <c r="G26" s="42">
        <f aca="true" t="shared" si="9" ref="G26:G43">+E26*$G$3</f>
        <v>136</v>
      </c>
      <c r="H26" s="42">
        <v>27.72</v>
      </c>
      <c r="I26" s="42">
        <v>0</v>
      </c>
      <c r="J26" s="63">
        <v>154</v>
      </c>
      <c r="K26" s="42">
        <f aca="true" t="shared" si="10" ref="K26:K43">(E26+(E26/3))/12</f>
        <v>188.88888888888889</v>
      </c>
      <c r="L26" s="63">
        <v>0</v>
      </c>
      <c r="M26" s="63">
        <f>+K26*$M$3</f>
        <v>15.11111111111111</v>
      </c>
      <c r="N26" s="63">
        <f aca="true" t="shared" si="11" ref="N26:N43">+E26/12</f>
        <v>141.66666666666666</v>
      </c>
      <c r="O26" s="63">
        <v>0</v>
      </c>
      <c r="P26" s="63">
        <f aca="true" t="shared" si="12" ref="P26:P43">+N26*$P$3</f>
        <v>11.333333333333332</v>
      </c>
      <c r="Q26" s="162">
        <f aca="true" t="shared" si="13" ref="Q26:Q43">SUM(E26:P26)</f>
        <v>2374.7200000000003</v>
      </c>
      <c r="R26" s="158"/>
      <c r="S26" s="39"/>
    </row>
    <row r="27" spans="1:19" s="47" customFormat="1" ht="18" customHeight="1">
      <c r="A27" s="39"/>
      <c r="B27" s="43" t="s">
        <v>224</v>
      </c>
      <c r="C27" s="283" t="s">
        <v>142</v>
      </c>
      <c r="D27" s="44" t="s">
        <v>120</v>
      </c>
      <c r="E27" s="45">
        <v>1300</v>
      </c>
      <c r="F27" s="45">
        <v>0</v>
      </c>
      <c r="G27" s="295">
        <f t="shared" si="9"/>
        <v>104</v>
      </c>
      <c r="H27" s="45">
        <f>H26*2</f>
        <v>55.44</v>
      </c>
      <c r="I27" s="45">
        <v>0</v>
      </c>
      <c r="J27" s="45">
        <v>154</v>
      </c>
      <c r="K27" s="46">
        <f t="shared" si="10"/>
        <v>144.44444444444443</v>
      </c>
      <c r="L27" s="45">
        <v>0</v>
      </c>
      <c r="M27" s="45">
        <v>0</v>
      </c>
      <c r="N27" s="45">
        <f t="shared" si="11"/>
        <v>108.33333333333333</v>
      </c>
      <c r="O27" s="45">
        <v>0</v>
      </c>
      <c r="P27" s="45">
        <f t="shared" si="12"/>
        <v>8.666666666666666</v>
      </c>
      <c r="Q27" s="163">
        <f t="shared" si="13"/>
        <v>1874.8844444444444</v>
      </c>
      <c r="R27" s="158"/>
      <c r="S27" s="39"/>
    </row>
    <row r="28" spans="1:19" s="34" customFormat="1" ht="18" customHeight="1">
      <c r="A28" s="39"/>
      <c r="B28" s="48" t="s">
        <v>225</v>
      </c>
      <c r="C28" s="284" t="s">
        <v>209</v>
      </c>
      <c r="D28" s="49" t="s">
        <v>134</v>
      </c>
      <c r="E28" s="290">
        <v>1000</v>
      </c>
      <c r="F28" s="50">
        <f>(E28*0.258)</f>
        <v>258</v>
      </c>
      <c r="G28" s="294">
        <f t="shared" si="9"/>
        <v>80</v>
      </c>
      <c r="H28" s="50">
        <v>55.44</v>
      </c>
      <c r="I28" s="50">
        <v>0</v>
      </c>
      <c r="J28" s="50">
        <v>154</v>
      </c>
      <c r="K28" s="50">
        <f t="shared" si="10"/>
        <v>111.1111111111111</v>
      </c>
      <c r="L28" s="50">
        <f>+K28*0.258</f>
        <v>28.666666666666664</v>
      </c>
      <c r="M28" s="50">
        <f>+K28*$M$3</f>
        <v>8.888888888888888</v>
      </c>
      <c r="N28" s="50">
        <f t="shared" si="11"/>
        <v>83.33333333333333</v>
      </c>
      <c r="O28" s="50">
        <f>+N28*0.258</f>
        <v>21.5</v>
      </c>
      <c r="P28" s="50">
        <f t="shared" si="12"/>
        <v>6.666666666666666</v>
      </c>
      <c r="Q28" s="164">
        <f t="shared" si="13"/>
        <v>1807.6066666666668</v>
      </c>
      <c r="R28" s="158"/>
      <c r="S28" s="39"/>
    </row>
    <row r="29" spans="1:19" s="47" customFormat="1" ht="18" customHeight="1">
      <c r="A29" s="39"/>
      <c r="B29" s="43" t="s">
        <v>226</v>
      </c>
      <c r="C29" s="285" t="s">
        <v>209</v>
      </c>
      <c r="D29" s="52" t="s">
        <v>130</v>
      </c>
      <c r="E29" s="291">
        <v>670</v>
      </c>
      <c r="F29" s="45">
        <f aca="true" t="shared" si="14" ref="F29:F42">+E29*$F$3</f>
        <v>0</v>
      </c>
      <c r="G29" s="295">
        <f t="shared" si="9"/>
        <v>53.6</v>
      </c>
      <c r="H29" s="45">
        <v>27.72</v>
      </c>
      <c r="I29" s="45">
        <v>0</v>
      </c>
      <c r="J29" s="45">
        <v>154</v>
      </c>
      <c r="K29" s="45">
        <f t="shared" si="10"/>
        <v>74.44444444444444</v>
      </c>
      <c r="L29" s="45">
        <v>0</v>
      </c>
      <c r="M29" s="45">
        <f>+K29*$M$3</f>
        <v>5.955555555555556</v>
      </c>
      <c r="N29" s="45">
        <f t="shared" si="11"/>
        <v>55.833333333333336</v>
      </c>
      <c r="O29" s="45">
        <v>0</v>
      </c>
      <c r="P29" s="45">
        <f t="shared" si="12"/>
        <v>4.466666666666667</v>
      </c>
      <c r="Q29" s="163">
        <f t="shared" si="13"/>
        <v>1046.02</v>
      </c>
      <c r="R29" s="158"/>
      <c r="S29" s="39"/>
    </row>
    <row r="30" spans="1:19" s="47" customFormat="1" ht="18" customHeight="1">
      <c r="A30" s="39"/>
      <c r="B30" s="48" t="s">
        <v>227</v>
      </c>
      <c r="C30" s="284" t="s">
        <v>209</v>
      </c>
      <c r="D30" s="49" t="s">
        <v>131</v>
      </c>
      <c r="E30" s="292">
        <v>1000</v>
      </c>
      <c r="F30" s="50">
        <f>(E30*0.258)</f>
        <v>258</v>
      </c>
      <c r="G30" s="294">
        <f t="shared" si="9"/>
        <v>80</v>
      </c>
      <c r="H30" s="50">
        <v>149.67</v>
      </c>
      <c r="I30" s="50">
        <v>0</v>
      </c>
      <c r="J30" s="50">
        <v>154</v>
      </c>
      <c r="K30" s="50">
        <f t="shared" si="10"/>
        <v>111.1111111111111</v>
      </c>
      <c r="L30" s="50">
        <f>+K30*0.258</f>
        <v>28.666666666666664</v>
      </c>
      <c r="M30" s="50">
        <f>+K30*$M$3</f>
        <v>8.888888888888888</v>
      </c>
      <c r="N30" s="50">
        <f t="shared" si="11"/>
        <v>83.33333333333333</v>
      </c>
      <c r="O30" s="50">
        <f>+N30*0.258</f>
        <v>21.5</v>
      </c>
      <c r="P30" s="50">
        <f t="shared" si="12"/>
        <v>6.666666666666666</v>
      </c>
      <c r="Q30" s="164">
        <f t="shared" si="13"/>
        <v>1901.8366666666668</v>
      </c>
      <c r="R30" s="158"/>
      <c r="S30" s="39"/>
    </row>
    <row r="31" spans="1:19" s="47" customFormat="1" ht="18" customHeight="1">
      <c r="A31" s="39"/>
      <c r="B31" s="43" t="s">
        <v>228</v>
      </c>
      <c r="C31" s="285" t="s">
        <v>142</v>
      </c>
      <c r="D31" s="52" t="s">
        <v>132</v>
      </c>
      <c r="E31" s="291">
        <v>3000</v>
      </c>
      <c r="F31" s="45">
        <v>0</v>
      </c>
      <c r="G31" s="295">
        <f t="shared" si="9"/>
        <v>240</v>
      </c>
      <c r="H31" s="45">
        <v>149.67</v>
      </c>
      <c r="I31" s="45">
        <v>0</v>
      </c>
      <c r="J31" s="45">
        <v>154</v>
      </c>
      <c r="K31" s="45">
        <f t="shared" si="10"/>
        <v>333.3333333333333</v>
      </c>
      <c r="L31" s="45">
        <v>0</v>
      </c>
      <c r="M31" s="45">
        <v>0</v>
      </c>
      <c r="N31" s="45">
        <f t="shared" si="11"/>
        <v>250</v>
      </c>
      <c r="O31" s="45">
        <v>0</v>
      </c>
      <c r="P31" s="45">
        <f t="shared" si="12"/>
        <v>20</v>
      </c>
      <c r="Q31" s="163">
        <f t="shared" si="13"/>
        <v>4147.003333333334</v>
      </c>
      <c r="R31" s="158"/>
      <c r="S31" s="39"/>
    </row>
    <row r="32" spans="1:19" s="47" customFormat="1" ht="18" customHeight="1">
      <c r="A32" s="39"/>
      <c r="B32" s="48" t="s">
        <v>229</v>
      </c>
      <c r="C32" s="284" t="s">
        <v>209</v>
      </c>
      <c r="D32" s="49" t="s">
        <v>133</v>
      </c>
      <c r="E32" s="290">
        <v>2700</v>
      </c>
      <c r="F32" s="50">
        <f t="shared" si="14"/>
        <v>0</v>
      </c>
      <c r="G32" s="294">
        <f t="shared" si="9"/>
        <v>216</v>
      </c>
      <c r="H32" s="50">
        <v>55.44</v>
      </c>
      <c r="I32" s="50">
        <v>0</v>
      </c>
      <c r="J32" s="50">
        <v>154</v>
      </c>
      <c r="K32" s="50">
        <f t="shared" si="10"/>
        <v>300</v>
      </c>
      <c r="L32" s="50">
        <v>0</v>
      </c>
      <c r="M32" s="50">
        <f>+K32*$M$3</f>
        <v>24</v>
      </c>
      <c r="N32" s="50">
        <f t="shared" si="11"/>
        <v>225</v>
      </c>
      <c r="O32" s="50">
        <v>0</v>
      </c>
      <c r="P32" s="50">
        <f t="shared" si="12"/>
        <v>18</v>
      </c>
      <c r="Q32" s="164">
        <f t="shared" si="13"/>
        <v>3692.44</v>
      </c>
      <c r="R32" s="158"/>
      <c r="S32" s="39"/>
    </row>
    <row r="33" spans="1:19" s="47" customFormat="1" ht="18" customHeight="1">
      <c r="A33" s="39"/>
      <c r="B33" s="43" t="s">
        <v>230</v>
      </c>
      <c r="C33" s="285" t="s">
        <v>209</v>
      </c>
      <c r="D33" s="52" t="s">
        <v>135</v>
      </c>
      <c r="E33" s="291">
        <v>1200</v>
      </c>
      <c r="F33" s="45">
        <f t="shared" si="14"/>
        <v>0</v>
      </c>
      <c r="G33" s="295">
        <f t="shared" si="9"/>
        <v>96</v>
      </c>
      <c r="H33" s="45">
        <v>27.72</v>
      </c>
      <c r="I33" s="45">
        <v>0</v>
      </c>
      <c r="J33" s="45">
        <v>154</v>
      </c>
      <c r="K33" s="45">
        <f t="shared" si="10"/>
        <v>133.33333333333334</v>
      </c>
      <c r="L33" s="45">
        <v>0</v>
      </c>
      <c r="M33" s="45">
        <f>+K33*$M$3</f>
        <v>10.666666666666668</v>
      </c>
      <c r="N33" s="45">
        <f t="shared" si="11"/>
        <v>100</v>
      </c>
      <c r="O33" s="45">
        <v>0</v>
      </c>
      <c r="P33" s="45">
        <f t="shared" si="12"/>
        <v>8</v>
      </c>
      <c r="Q33" s="163">
        <f t="shared" si="13"/>
        <v>1729.72</v>
      </c>
      <c r="R33" s="158"/>
      <c r="S33" s="39"/>
    </row>
    <row r="34" spans="1:19" s="47" customFormat="1" ht="18" customHeight="1">
      <c r="A34" s="39"/>
      <c r="B34" s="48" t="s">
        <v>231</v>
      </c>
      <c r="C34" s="284" t="s">
        <v>209</v>
      </c>
      <c r="D34" s="49" t="s">
        <v>133</v>
      </c>
      <c r="E34" s="290">
        <v>1000</v>
      </c>
      <c r="F34" s="50">
        <f t="shared" si="14"/>
        <v>0</v>
      </c>
      <c r="G34" s="294">
        <f t="shared" si="9"/>
        <v>80</v>
      </c>
      <c r="H34" s="50">
        <v>27.72</v>
      </c>
      <c r="I34" s="50">
        <v>0</v>
      </c>
      <c r="J34" s="50">
        <v>154</v>
      </c>
      <c r="K34" s="50">
        <f t="shared" si="10"/>
        <v>111.1111111111111</v>
      </c>
      <c r="L34" s="50">
        <v>0</v>
      </c>
      <c r="M34" s="50">
        <f>+K34*$M$3</f>
        <v>8.888888888888888</v>
      </c>
      <c r="N34" s="50">
        <f t="shared" si="11"/>
        <v>83.33333333333333</v>
      </c>
      <c r="O34" s="50">
        <v>0</v>
      </c>
      <c r="P34" s="50">
        <f t="shared" si="12"/>
        <v>6.666666666666666</v>
      </c>
      <c r="Q34" s="164">
        <f t="shared" si="13"/>
        <v>1471.72</v>
      </c>
      <c r="R34" s="158"/>
      <c r="S34" s="39"/>
    </row>
    <row r="35" spans="1:19" s="47" customFormat="1" ht="18" customHeight="1">
      <c r="A35" s="39"/>
      <c r="B35" s="43" t="s">
        <v>238</v>
      </c>
      <c r="C35" s="286" t="s">
        <v>142</v>
      </c>
      <c r="D35" s="243" t="s">
        <v>136</v>
      </c>
      <c r="E35" s="293">
        <v>380</v>
      </c>
      <c r="F35" s="244">
        <v>0</v>
      </c>
      <c r="G35" s="295">
        <f t="shared" si="9"/>
        <v>30.400000000000002</v>
      </c>
      <c r="H35" s="244">
        <v>55.44</v>
      </c>
      <c r="I35" s="244">
        <v>0</v>
      </c>
      <c r="J35" s="45">
        <v>154</v>
      </c>
      <c r="K35" s="45">
        <f t="shared" si="10"/>
        <v>42.22222222222222</v>
      </c>
      <c r="L35" s="45">
        <v>0</v>
      </c>
      <c r="M35" s="45">
        <v>0</v>
      </c>
      <c r="N35" s="45">
        <f t="shared" si="11"/>
        <v>31.666666666666668</v>
      </c>
      <c r="O35" s="45">
        <v>0</v>
      </c>
      <c r="P35" s="45">
        <f t="shared" si="12"/>
        <v>2.5333333333333337</v>
      </c>
      <c r="Q35" s="245">
        <f t="shared" si="13"/>
        <v>696.262222222222</v>
      </c>
      <c r="R35" s="158"/>
      <c r="S35" s="39"/>
    </row>
    <row r="36" spans="1:19" s="47" customFormat="1" ht="18" customHeight="1">
      <c r="A36" s="39">
        <v>2</v>
      </c>
      <c r="B36" s="288" t="s">
        <v>118</v>
      </c>
      <c r="C36" s="287" t="s">
        <v>142</v>
      </c>
      <c r="D36" s="246" t="s">
        <v>132</v>
      </c>
      <c r="E36" s="292">
        <v>1000</v>
      </c>
      <c r="F36" s="157">
        <f t="shared" si="14"/>
        <v>0</v>
      </c>
      <c r="G36" s="294">
        <f t="shared" si="9"/>
        <v>80</v>
      </c>
      <c r="H36" s="157">
        <v>55.44</v>
      </c>
      <c r="I36" s="157">
        <v>0</v>
      </c>
      <c r="J36" s="50">
        <v>154</v>
      </c>
      <c r="K36" s="50">
        <f t="shared" si="10"/>
        <v>111.1111111111111</v>
      </c>
      <c r="L36" s="50">
        <v>0</v>
      </c>
      <c r="M36" s="50">
        <f aca="true" t="shared" si="15" ref="M36:M43">+K36*$M$3</f>
        <v>8.888888888888888</v>
      </c>
      <c r="N36" s="50">
        <f t="shared" si="11"/>
        <v>83.33333333333333</v>
      </c>
      <c r="O36" s="50">
        <f>+N36*$O$3</f>
        <v>6.374999999999999</v>
      </c>
      <c r="P36" s="50">
        <f t="shared" si="12"/>
        <v>6.666666666666666</v>
      </c>
      <c r="Q36" s="157">
        <f t="shared" si="13"/>
        <v>1505.815</v>
      </c>
      <c r="R36" s="158"/>
      <c r="S36" s="242"/>
    </row>
    <row r="37" spans="1:19" s="47" customFormat="1" ht="18" customHeight="1">
      <c r="A37" s="39"/>
      <c r="B37" s="43" t="s">
        <v>233</v>
      </c>
      <c r="C37" s="285" t="s">
        <v>142</v>
      </c>
      <c r="D37" s="52" t="s">
        <v>137</v>
      </c>
      <c r="E37" s="291">
        <v>700</v>
      </c>
      <c r="F37" s="45">
        <f t="shared" si="14"/>
        <v>0</v>
      </c>
      <c r="G37" s="295">
        <f t="shared" si="9"/>
        <v>56</v>
      </c>
      <c r="H37" s="45">
        <v>110.88</v>
      </c>
      <c r="I37" s="45">
        <v>0</v>
      </c>
      <c r="J37" s="45">
        <v>154</v>
      </c>
      <c r="K37" s="45">
        <f t="shared" si="10"/>
        <v>77.77777777777779</v>
      </c>
      <c r="L37" s="45">
        <v>0</v>
      </c>
      <c r="M37" s="45">
        <f t="shared" si="15"/>
        <v>6.222222222222223</v>
      </c>
      <c r="N37" s="45">
        <f t="shared" si="11"/>
        <v>58.333333333333336</v>
      </c>
      <c r="O37" s="45">
        <f>+N37*$O$3</f>
        <v>4.4625</v>
      </c>
      <c r="P37" s="45">
        <f t="shared" si="12"/>
        <v>4.666666666666667</v>
      </c>
      <c r="Q37" s="163">
        <f t="shared" si="13"/>
        <v>1172.3425</v>
      </c>
      <c r="R37" s="158"/>
      <c r="S37" s="39"/>
    </row>
    <row r="38" spans="1:19" s="47" customFormat="1" ht="18" customHeight="1">
      <c r="A38" s="39"/>
      <c r="B38" s="48" t="s">
        <v>234</v>
      </c>
      <c r="C38" s="284" t="s">
        <v>209</v>
      </c>
      <c r="D38" s="49" t="s">
        <v>133</v>
      </c>
      <c r="E38" s="290">
        <v>700</v>
      </c>
      <c r="F38" s="50">
        <f t="shared" si="14"/>
        <v>0</v>
      </c>
      <c r="G38" s="294">
        <f t="shared" si="9"/>
        <v>56</v>
      </c>
      <c r="H38" s="50">
        <v>83.16</v>
      </c>
      <c r="I38" s="50">
        <v>63.6</v>
      </c>
      <c r="J38" s="50">
        <v>154</v>
      </c>
      <c r="K38" s="50">
        <f t="shared" si="10"/>
        <v>77.77777777777779</v>
      </c>
      <c r="L38" s="50">
        <v>0</v>
      </c>
      <c r="M38" s="50">
        <f t="shared" si="15"/>
        <v>6.222222222222223</v>
      </c>
      <c r="N38" s="50">
        <f t="shared" si="11"/>
        <v>58.333333333333336</v>
      </c>
      <c r="O38" s="50">
        <v>0</v>
      </c>
      <c r="P38" s="50">
        <f t="shared" si="12"/>
        <v>4.666666666666667</v>
      </c>
      <c r="Q38" s="164">
        <f t="shared" si="13"/>
        <v>1203.76</v>
      </c>
      <c r="R38" s="158"/>
      <c r="S38" s="39"/>
    </row>
    <row r="39" spans="1:19" s="47" customFormat="1" ht="18" customHeight="1">
      <c r="A39" s="39"/>
      <c r="B39" s="43" t="s">
        <v>235</v>
      </c>
      <c r="C39" s="285" t="s">
        <v>142</v>
      </c>
      <c r="D39" s="52" t="s">
        <v>133</v>
      </c>
      <c r="E39" s="291">
        <v>1000</v>
      </c>
      <c r="F39" s="45">
        <f t="shared" si="14"/>
        <v>0</v>
      </c>
      <c r="G39" s="295">
        <f t="shared" si="9"/>
        <v>80</v>
      </c>
      <c r="H39" s="45">
        <v>55.44</v>
      </c>
      <c r="I39" s="45">
        <v>211</v>
      </c>
      <c r="J39" s="45">
        <v>154</v>
      </c>
      <c r="K39" s="45">
        <f t="shared" si="10"/>
        <v>111.1111111111111</v>
      </c>
      <c r="L39" s="45">
        <v>0</v>
      </c>
      <c r="M39" s="45">
        <f t="shared" si="15"/>
        <v>8.888888888888888</v>
      </c>
      <c r="N39" s="45">
        <f t="shared" si="11"/>
        <v>83.33333333333333</v>
      </c>
      <c r="O39" s="45">
        <f>+N39*$O$3</f>
        <v>6.374999999999999</v>
      </c>
      <c r="P39" s="45">
        <f t="shared" si="12"/>
        <v>6.666666666666666</v>
      </c>
      <c r="Q39" s="163">
        <f t="shared" si="13"/>
        <v>1716.815</v>
      </c>
      <c r="R39" s="158"/>
      <c r="S39" s="39"/>
    </row>
    <row r="40" spans="1:19" s="47" customFormat="1" ht="18" customHeight="1">
      <c r="A40" s="39"/>
      <c r="B40" s="48" t="s">
        <v>236</v>
      </c>
      <c r="C40" s="284" t="s">
        <v>209</v>
      </c>
      <c r="D40" s="49" t="s">
        <v>138</v>
      </c>
      <c r="E40" s="290">
        <v>670</v>
      </c>
      <c r="F40" s="51">
        <f>(E40*0.258)</f>
        <v>172.86</v>
      </c>
      <c r="G40" s="294">
        <f t="shared" si="9"/>
        <v>53.6</v>
      </c>
      <c r="H40" s="50">
        <v>0</v>
      </c>
      <c r="I40" s="50">
        <v>65.4</v>
      </c>
      <c r="J40" s="50">
        <v>154</v>
      </c>
      <c r="K40" s="50">
        <f t="shared" si="10"/>
        <v>74.44444444444444</v>
      </c>
      <c r="L40" s="50">
        <f>+K40*0.258</f>
        <v>19.206666666666667</v>
      </c>
      <c r="M40" s="50">
        <f t="shared" si="15"/>
        <v>5.955555555555556</v>
      </c>
      <c r="N40" s="50">
        <f t="shared" si="11"/>
        <v>55.833333333333336</v>
      </c>
      <c r="O40" s="50">
        <f>+N40*0.258</f>
        <v>14.405000000000001</v>
      </c>
      <c r="P40" s="50">
        <f t="shared" si="12"/>
        <v>4.466666666666667</v>
      </c>
      <c r="Q40" s="164">
        <f t="shared" si="13"/>
        <v>1290.1716666666666</v>
      </c>
      <c r="R40" s="158"/>
      <c r="S40" s="39"/>
    </row>
    <row r="41" spans="1:19" s="47" customFormat="1" ht="18" customHeight="1">
      <c r="A41" s="39"/>
      <c r="B41" s="43" t="s">
        <v>237</v>
      </c>
      <c r="C41" s="285" t="s">
        <v>142</v>
      </c>
      <c r="D41" s="52" t="s">
        <v>134</v>
      </c>
      <c r="E41" s="45">
        <v>1000</v>
      </c>
      <c r="F41" s="46">
        <f t="shared" si="14"/>
        <v>0</v>
      </c>
      <c r="G41" s="295">
        <f t="shared" si="9"/>
        <v>80</v>
      </c>
      <c r="H41" s="45">
        <v>0</v>
      </c>
      <c r="I41" s="45">
        <v>0</v>
      </c>
      <c r="J41" s="45">
        <v>154</v>
      </c>
      <c r="K41" s="45">
        <f t="shared" si="10"/>
        <v>111.1111111111111</v>
      </c>
      <c r="L41" s="45">
        <v>0</v>
      </c>
      <c r="M41" s="45">
        <f t="shared" si="15"/>
        <v>8.888888888888888</v>
      </c>
      <c r="N41" s="45">
        <f t="shared" si="11"/>
        <v>83.33333333333333</v>
      </c>
      <c r="O41" s="45">
        <f>+N41*$O$3</f>
        <v>6.374999999999999</v>
      </c>
      <c r="P41" s="45">
        <f t="shared" si="12"/>
        <v>6.666666666666666</v>
      </c>
      <c r="Q41" s="163">
        <f t="shared" si="13"/>
        <v>1450.375</v>
      </c>
      <c r="R41" s="158"/>
      <c r="S41" s="39"/>
    </row>
    <row r="42" spans="1:19" s="47" customFormat="1" ht="18" customHeight="1">
      <c r="A42" s="39"/>
      <c r="B42" s="48" t="s">
        <v>232</v>
      </c>
      <c r="C42" s="284" t="s">
        <v>209</v>
      </c>
      <c r="D42" s="49" t="s">
        <v>129</v>
      </c>
      <c r="E42" s="50">
        <v>670</v>
      </c>
      <c r="F42" s="50">
        <f t="shared" si="14"/>
        <v>0</v>
      </c>
      <c r="G42" s="294">
        <f t="shared" si="9"/>
        <v>53.6</v>
      </c>
      <c r="H42" s="50">
        <v>110.88</v>
      </c>
      <c r="I42" s="50">
        <v>0</v>
      </c>
      <c r="J42" s="50">
        <v>154</v>
      </c>
      <c r="K42" s="50">
        <f t="shared" si="10"/>
        <v>74.44444444444444</v>
      </c>
      <c r="L42" s="50">
        <v>0</v>
      </c>
      <c r="M42" s="50">
        <f t="shared" si="15"/>
        <v>5.955555555555556</v>
      </c>
      <c r="N42" s="50">
        <f t="shared" si="11"/>
        <v>55.833333333333336</v>
      </c>
      <c r="O42" s="50">
        <v>0</v>
      </c>
      <c r="P42" s="50">
        <f t="shared" si="12"/>
        <v>4.466666666666667</v>
      </c>
      <c r="Q42" s="164">
        <f t="shared" si="13"/>
        <v>1129.1799999999998</v>
      </c>
      <c r="R42" s="158"/>
      <c r="S42" s="39"/>
    </row>
    <row r="43" spans="1:19" s="47" customFormat="1" ht="18" customHeight="1" thickBot="1">
      <c r="A43" s="39"/>
      <c r="B43" s="43" t="s">
        <v>239</v>
      </c>
      <c r="C43" s="285" t="s">
        <v>209</v>
      </c>
      <c r="D43" s="52" t="s">
        <v>129</v>
      </c>
      <c r="E43" s="291">
        <v>670</v>
      </c>
      <c r="F43" s="296">
        <f>(E43*0.258)</f>
        <v>172.86</v>
      </c>
      <c r="G43" s="295">
        <f t="shared" si="9"/>
        <v>53.6</v>
      </c>
      <c r="H43" s="45">
        <v>27.72</v>
      </c>
      <c r="I43" s="45">
        <v>0</v>
      </c>
      <c r="J43" s="45">
        <v>154</v>
      </c>
      <c r="K43" s="45">
        <f t="shared" si="10"/>
        <v>74.44444444444444</v>
      </c>
      <c r="L43" s="45">
        <f>+K43*0.258</f>
        <v>19.206666666666667</v>
      </c>
      <c r="M43" s="45">
        <f t="shared" si="15"/>
        <v>5.955555555555556</v>
      </c>
      <c r="N43" s="45">
        <f t="shared" si="11"/>
        <v>55.833333333333336</v>
      </c>
      <c r="O43" s="45">
        <f>+N43*0.258</f>
        <v>14.405000000000001</v>
      </c>
      <c r="P43" s="45">
        <f t="shared" si="12"/>
        <v>4.466666666666667</v>
      </c>
      <c r="Q43" s="163">
        <f t="shared" si="13"/>
        <v>1252.4916666666666</v>
      </c>
      <c r="R43" s="158"/>
      <c r="S43" s="39"/>
    </row>
    <row r="44" spans="1:18" s="34" customFormat="1" ht="18" customHeight="1" thickBot="1">
      <c r="A44" s="55"/>
      <c r="B44" s="56"/>
      <c r="C44" s="56"/>
      <c r="D44" s="57"/>
      <c r="E44" s="58">
        <f aca="true" t="shared" si="16" ref="E44:Q44">SUM(E26:E43)</f>
        <v>20360</v>
      </c>
      <c r="F44" s="58">
        <f t="shared" si="16"/>
        <v>861.72</v>
      </c>
      <c r="G44" s="58">
        <f t="shared" si="16"/>
        <v>1628.7999999999997</v>
      </c>
      <c r="H44" s="58">
        <f t="shared" si="16"/>
        <v>1075.5000000000002</v>
      </c>
      <c r="I44" s="58">
        <f t="shared" si="16"/>
        <v>340</v>
      </c>
      <c r="J44" s="58">
        <f t="shared" si="16"/>
        <v>2772</v>
      </c>
      <c r="K44" s="58">
        <f t="shared" si="16"/>
        <v>2262.2222222222217</v>
      </c>
      <c r="L44" s="58">
        <f t="shared" si="16"/>
        <v>95.74666666666666</v>
      </c>
      <c r="M44" s="58">
        <f t="shared" si="16"/>
        <v>139.37777777777777</v>
      </c>
      <c r="N44" s="58">
        <f t="shared" si="16"/>
        <v>1696.666666666666</v>
      </c>
      <c r="O44" s="58">
        <f t="shared" si="16"/>
        <v>95.39750000000001</v>
      </c>
      <c r="P44" s="58">
        <f t="shared" si="16"/>
        <v>135.73333333333335</v>
      </c>
      <c r="Q44" s="58">
        <f t="shared" si="16"/>
        <v>31463.164166666662</v>
      </c>
      <c r="R44" s="55"/>
    </row>
    <row r="45" spans="1:18" s="34" customFormat="1" ht="13.5" thickBot="1">
      <c r="A45" s="26"/>
      <c r="B45" s="59"/>
      <c r="C45" s="59"/>
      <c r="D45" s="60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61"/>
      <c r="R45" s="26"/>
    </row>
    <row r="46" spans="1:18" s="34" customFormat="1" ht="18" customHeight="1" thickBot="1">
      <c r="A46" s="26"/>
      <c r="B46" s="26"/>
      <c r="C46" s="26"/>
      <c r="D46" s="218" t="s">
        <v>90</v>
      </c>
      <c r="E46" s="219">
        <f aca="true" t="shared" si="17" ref="E46:Q46">+E44+E24</f>
        <v>30790</v>
      </c>
      <c r="F46" s="219">
        <f t="shared" si="17"/>
        <v>1248.72</v>
      </c>
      <c r="G46" s="219">
        <f t="shared" si="17"/>
        <v>2463.2</v>
      </c>
      <c r="H46" s="219">
        <f t="shared" si="17"/>
        <v>1740.7800000000002</v>
      </c>
      <c r="I46" s="219">
        <f t="shared" si="17"/>
        <v>806</v>
      </c>
      <c r="J46" s="219">
        <f t="shared" si="17"/>
        <v>4620</v>
      </c>
      <c r="K46" s="219">
        <f t="shared" si="17"/>
        <v>3421.111111111111</v>
      </c>
      <c r="L46" s="219">
        <f t="shared" si="17"/>
        <v>138.74666666666667</v>
      </c>
      <c r="M46" s="219">
        <f t="shared" si="17"/>
        <v>232.08888888888887</v>
      </c>
      <c r="N46" s="219">
        <f t="shared" si="17"/>
        <v>2565.8333333333326</v>
      </c>
      <c r="O46" s="219">
        <f t="shared" si="17"/>
        <v>127.64750000000001</v>
      </c>
      <c r="P46" s="219">
        <f t="shared" si="17"/>
        <v>205.26666666666668</v>
      </c>
      <c r="Q46" s="219">
        <f t="shared" si="17"/>
        <v>48359.394166666665</v>
      </c>
      <c r="R46" s="26"/>
    </row>
    <row r="47" spans="1:18" s="34" customFormat="1" ht="12.75">
      <c r="A47" s="26"/>
      <c r="B47" s="26"/>
      <c r="C47" s="26"/>
      <c r="D47" s="27"/>
      <c r="E47" s="26"/>
      <c r="F47" s="26"/>
      <c r="G47" s="26"/>
      <c r="H47" s="26"/>
      <c r="I47" s="26"/>
      <c r="J47" s="26"/>
      <c r="K47" s="26"/>
      <c r="L47" s="26"/>
      <c r="M47" s="28"/>
      <c r="N47" s="26"/>
      <c r="O47" s="26"/>
      <c r="P47" s="26"/>
      <c r="Q47" s="29"/>
      <c r="R47" s="26"/>
    </row>
  </sheetData>
  <mergeCells count="4">
    <mergeCell ref="D2:D3"/>
    <mergeCell ref="B2:B3"/>
    <mergeCell ref="E2:E3"/>
    <mergeCell ref="C2:C3"/>
  </mergeCells>
  <printOptions/>
  <pageMargins left="0.17" right="0.17" top="0.27" bottom="0.41" header="0.17" footer="0.23"/>
  <pageSetup horizontalDpi="600" verticalDpi="6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39" sqref="B39"/>
    </sheetView>
  </sheetViews>
  <sheetFormatPr defaultColWidth="9.140625" defaultRowHeight="12.75"/>
  <cols>
    <col min="1" max="1" width="13.8515625" style="15" customWidth="1"/>
    <col min="2" max="2" width="14.28125" style="15" bestFit="1" customWidth="1"/>
    <col min="3" max="3" width="11.140625" style="15" customWidth="1"/>
    <col min="4" max="4" width="13.8515625" style="15" customWidth="1"/>
    <col min="5" max="5" width="12.140625" style="15" bestFit="1" customWidth="1"/>
    <col min="6" max="16384" width="9.140625" style="15" customWidth="1"/>
  </cols>
  <sheetData>
    <row r="1" spans="1:5" ht="12.75">
      <c r="A1" s="441" t="s">
        <v>145</v>
      </c>
      <c r="B1" s="441"/>
      <c r="C1" s="441"/>
      <c r="D1" s="441"/>
      <c r="E1" s="441"/>
    </row>
    <row r="2" spans="1:5" ht="12.75">
      <c r="A2" s="441"/>
      <c r="B2" s="441"/>
      <c r="C2" s="441"/>
      <c r="D2" s="441"/>
      <c r="E2" s="441"/>
    </row>
    <row r="4" spans="1:5" ht="27.75" customHeight="1">
      <c r="A4" s="309" t="s">
        <v>72</v>
      </c>
      <c r="B4" s="310" t="s">
        <v>152</v>
      </c>
      <c r="C4" s="310" t="s">
        <v>161</v>
      </c>
      <c r="D4" s="310" t="s">
        <v>159</v>
      </c>
      <c r="E4" s="310" t="s">
        <v>160</v>
      </c>
    </row>
    <row r="5" spans="1:6" ht="12.75">
      <c r="A5" s="303" t="s">
        <v>148</v>
      </c>
      <c r="B5" s="306">
        <v>25000</v>
      </c>
      <c r="C5" s="307">
        <v>10</v>
      </c>
      <c r="D5" s="308">
        <f>B5/C5</f>
        <v>2500</v>
      </c>
      <c r="E5" s="308">
        <f>D5/12</f>
        <v>208.33333333333334</v>
      </c>
      <c r="F5" s="319">
        <f>E5/$E$16</f>
        <v>0.090711175616836</v>
      </c>
    </row>
    <row r="6" spans="1:6" ht="12.75">
      <c r="A6" s="303" t="s">
        <v>149</v>
      </c>
      <c r="B6" s="306">
        <v>20000</v>
      </c>
      <c r="C6" s="307">
        <v>10</v>
      </c>
      <c r="D6" s="308">
        <f aca="true" t="shared" si="0" ref="D6:D15">B6/C6</f>
        <v>2000</v>
      </c>
      <c r="E6" s="308">
        <f aca="true" t="shared" si="1" ref="E6:E15">D6/12</f>
        <v>166.66666666666666</v>
      </c>
      <c r="F6" s="319">
        <f aca="true" t="shared" si="2" ref="F6:F15">E6/$E$16</f>
        <v>0.07256894049346879</v>
      </c>
    </row>
    <row r="7" spans="1:6" ht="12.75">
      <c r="A7" s="303" t="s">
        <v>150</v>
      </c>
      <c r="B7" s="306">
        <v>25000</v>
      </c>
      <c r="C7" s="307">
        <v>10</v>
      </c>
      <c r="D7" s="308">
        <f t="shared" si="0"/>
        <v>2500</v>
      </c>
      <c r="E7" s="308">
        <f t="shared" si="1"/>
        <v>208.33333333333334</v>
      </c>
      <c r="F7" s="319">
        <f t="shared" si="2"/>
        <v>0.090711175616836</v>
      </c>
    </row>
    <row r="8" spans="1:6" ht="12.75">
      <c r="A8" s="303" t="s">
        <v>151</v>
      </c>
      <c r="B8" s="306">
        <v>5600</v>
      </c>
      <c r="C8" s="307">
        <v>10</v>
      </c>
      <c r="D8" s="308">
        <f t="shared" si="0"/>
        <v>560</v>
      </c>
      <c r="E8" s="308">
        <f t="shared" si="1"/>
        <v>46.666666666666664</v>
      </c>
      <c r="F8" s="319">
        <f t="shared" si="2"/>
        <v>0.020319303338171262</v>
      </c>
    </row>
    <row r="9" spans="1:6" ht="12.75">
      <c r="A9" s="303" t="s">
        <v>153</v>
      </c>
      <c r="B9" s="306">
        <v>20000</v>
      </c>
      <c r="C9" s="307">
        <v>10</v>
      </c>
      <c r="D9" s="308">
        <f t="shared" si="0"/>
        <v>2000</v>
      </c>
      <c r="E9" s="308">
        <f t="shared" si="1"/>
        <v>166.66666666666666</v>
      </c>
      <c r="F9" s="319">
        <f t="shared" si="2"/>
        <v>0.07256894049346879</v>
      </c>
    </row>
    <row r="10" spans="1:6" ht="12.75">
      <c r="A10" s="303" t="s">
        <v>154</v>
      </c>
      <c r="B10" s="306">
        <v>8000</v>
      </c>
      <c r="C10" s="307">
        <v>10</v>
      </c>
      <c r="D10" s="308">
        <f t="shared" si="0"/>
        <v>800</v>
      </c>
      <c r="E10" s="308">
        <f t="shared" si="1"/>
        <v>66.66666666666667</v>
      </c>
      <c r="F10" s="319">
        <f t="shared" si="2"/>
        <v>0.029027576197387522</v>
      </c>
    </row>
    <row r="11" spans="1:6" ht="12.75">
      <c r="A11" s="303" t="s">
        <v>155</v>
      </c>
      <c r="B11" s="306">
        <v>20000</v>
      </c>
      <c r="C11" s="307">
        <v>10</v>
      </c>
      <c r="D11" s="308">
        <f t="shared" si="0"/>
        <v>2000</v>
      </c>
      <c r="E11" s="308">
        <f t="shared" si="1"/>
        <v>166.66666666666666</v>
      </c>
      <c r="F11" s="319">
        <f t="shared" si="2"/>
        <v>0.07256894049346879</v>
      </c>
    </row>
    <row r="12" spans="1:6" ht="12.75">
      <c r="A12" s="303" t="s">
        <v>156</v>
      </c>
      <c r="B12" s="306">
        <v>8000</v>
      </c>
      <c r="C12" s="307">
        <v>10</v>
      </c>
      <c r="D12" s="308">
        <f t="shared" si="0"/>
        <v>800</v>
      </c>
      <c r="E12" s="308">
        <f t="shared" si="1"/>
        <v>66.66666666666667</v>
      </c>
      <c r="F12" s="319">
        <f t="shared" si="2"/>
        <v>0.029027576197387522</v>
      </c>
    </row>
    <row r="13" spans="1:6" ht="12.75">
      <c r="A13" s="303" t="s">
        <v>33</v>
      </c>
      <c r="B13" s="306">
        <v>108000</v>
      </c>
      <c r="C13" s="307">
        <v>10</v>
      </c>
      <c r="D13" s="308">
        <f t="shared" si="0"/>
        <v>10800</v>
      </c>
      <c r="E13" s="308">
        <f t="shared" si="1"/>
        <v>900</v>
      </c>
      <c r="F13" s="319">
        <f t="shared" si="2"/>
        <v>0.3918722786647315</v>
      </c>
    </row>
    <row r="14" spans="1:6" ht="12.75">
      <c r="A14" s="303" t="s">
        <v>157</v>
      </c>
      <c r="B14" s="306">
        <v>16000</v>
      </c>
      <c r="C14" s="307">
        <v>10</v>
      </c>
      <c r="D14" s="308">
        <f t="shared" si="0"/>
        <v>1600</v>
      </c>
      <c r="E14" s="308">
        <f t="shared" si="1"/>
        <v>133.33333333333334</v>
      </c>
      <c r="F14" s="319">
        <f t="shared" si="2"/>
        <v>0.058055152394775045</v>
      </c>
    </row>
    <row r="15" spans="1:6" ht="12.75">
      <c r="A15" s="303" t="s">
        <v>158</v>
      </c>
      <c r="B15" s="306">
        <v>10000</v>
      </c>
      <c r="C15" s="307">
        <v>5</v>
      </c>
      <c r="D15" s="308">
        <f t="shared" si="0"/>
        <v>2000</v>
      </c>
      <c r="E15" s="308">
        <f t="shared" si="1"/>
        <v>166.66666666666666</v>
      </c>
      <c r="F15" s="319">
        <f t="shared" si="2"/>
        <v>0.07256894049346879</v>
      </c>
    </row>
    <row r="16" spans="1:5" ht="12.75">
      <c r="A16" s="311" t="s">
        <v>48</v>
      </c>
      <c r="B16" s="312">
        <f>SUM(B5:B15)</f>
        <v>265600</v>
      </c>
      <c r="C16" s="313"/>
      <c r="D16" s="312">
        <f>SUM(D5:D15)</f>
        <v>27560</v>
      </c>
      <c r="E16" s="314">
        <f>SUM(E5:E15)</f>
        <v>2296.6666666666665</v>
      </c>
    </row>
    <row r="18" spans="1:5" ht="12.75">
      <c r="A18" s="441" t="s">
        <v>162</v>
      </c>
      <c r="B18" s="441"/>
      <c r="C18" s="441"/>
      <c r="D18" s="441"/>
      <c r="E18" s="441"/>
    </row>
    <row r="19" spans="1:5" ht="12.75">
      <c r="A19" s="441"/>
      <c r="B19" s="441"/>
      <c r="C19" s="441"/>
      <c r="D19" s="441"/>
      <c r="E19" s="441"/>
    </row>
    <row r="21" spans="1:5" ht="38.25">
      <c r="A21" s="309" t="s">
        <v>72</v>
      </c>
      <c r="B21" s="310" t="s">
        <v>152</v>
      </c>
      <c r="C21" s="310" t="s">
        <v>161</v>
      </c>
      <c r="D21" s="310" t="s">
        <v>159</v>
      </c>
      <c r="E21" s="310" t="s">
        <v>160</v>
      </c>
    </row>
    <row r="22" spans="1:5" ht="12.75">
      <c r="A22" s="303" t="s">
        <v>163</v>
      </c>
      <c r="B22" s="304">
        <v>30000</v>
      </c>
      <c r="C22" s="303">
        <v>5</v>
      </c>
      <c r="D22" s="308">
        <f>B22/C22</f>
        <v>6000</v>
      </c>
      <c r="E22" s="308">
        <f>D22/12</f>
        <v>500</v>
      </c>
    </row>
    <row r="23" spans="1:5" ht="12.75">
      <c r="A23" s="303" t="s">
        <v>158</v>
      </c>
      <c r="B23" s="304">
        <v>2000</v>
      </c>
      <c r="C23" s="303">
        <v>5</v>
      </c>
      <c r="D23" s="308">
        <f>B23/C23</f>
        <v>400</v>
      </c>
      <c r="E23" s="308">
        <f>D23/12</f>
        <v>33.333333333333336</v>
      </c>
    </row>
    <row r="24" spans="1:5" ht="12.75">
      <c r="A24" s="303" t="s">
        <v>48</v>
      </c>
      <c r="B24" s="305">
        <f>SUM(B22:B23)</f>
        <v>32000</v>
      </c>
      <c r="C24" s="303"/>
      <c r="D24" s="305">
        <f>SUM(D22:D23)</f>
        <v>6400</v>
      </c>
      <c r="E24" s="305">
        <f>SUM(E22:E23)</f>
        <v>533.3333333333334</v>
      </c>
    </row>
  </sheetData>
  <mergeCells count="2">
    <mergeCell ref="A1:E2"/>
    <mergeCell ref="A18:E19"/>
  </mergeCells>
  <printOptions/>
  <pageMargins left="0.75" right="0.75" top="1" bottom="1" header="0.492125985" footer="0.49212598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0"/>
  <sheetViews>
    <sheetView showGridLines="0" view="pageBreakPreview" zoomScale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3" sqref="C43"/>
    </sheetView>
  </sheetViews>
  <sheetFormatPr defaultColWidth="9.140625" defaultRowHeight="12.75"/>
  <cols>
    <col min="1" max="1" width="1.57421875" style="10" customWidth="1"/>
    <col min="2" max="2" width="27.140625" style="10" customWidth="1"/>
    <col min="3" max="3" width="9.8515625" style="69" customWidth="1"/>
    <col min="4" max="14" width="10.28125" style="69" bestFit="1" customWidth="1"/>
    <col min="15" max="15" width="12.00390625" style="69" bestFit="1" customWidth="1"/>
    <col min="16" max="16384" width="9.140625" style="10" customWidth="1"/>
  </cols>
  <sheetData>
    <row r="1" ht="15" thickBot="1"/>
    <row r="2" spans="2:15" ht="15.75" thickBot="1">
      <c r="B2" s="62" t="s">
        <v>25</v>
      </c>
      <c r="C2" s="85">
        <v>39692</v>
      </c>
      <c r="D2" s="85">
        <v>39722</v>
      </c>
      <c r="E2" s="85">
        <v>39753</v>
      </c>
      <c r="F2" s="85">
        <v>39783</v>
      </c>
      <c r="G2" s="85">
        <v>39814</v>
      </c>
      <c r="H2" s="85">
        <v>39845</v>
      </c>
      <c r="I2" s="85">
        <v>39873</v>
      </c>
      <c r="J2" s="85">
        <v>39904</v>
      </c>
      <c r="K2" s="85">
        <v>39934</v>
      </c>
      <c r="L2" s="85">
        <v>39965</v>
      </c>
      <c r="M2" s="85">
        <v>39995</v>
      </c>
      <c r="N2" s="85">
        <v>40026</v>
      </c>
      <c r="O2" s="70" t="s">
        <v>5</v>
      </c>
    </row>
    <row r="3" spans="2:15" ht="6" customHeight="1">
      <c r="B3" s="1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2:15" ht="15">
      <c r="B4" s="66" t="s">
        <v>64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>
        <f>SUM(C4:N4)</f>
        <v>0</v>
      </c>
    </row>
    <row r="5" spans="2:15" ht="11.25" customHeight="1">
      <c r="B5" s="6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2:15" ht="15">
      <c r="B6" s="12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78"/>
    </row>
    <row r="7" spans="2:15" ht="14.25">
      <c r="B7" s="11" t="s">
        <v>21</v>
      </c>
      <c r="C7" s="80">
        <f>+RH!E24</f>
        <v>10430</v>
      </c>
      <c r="D7" s="80">
        <f>C7</f>
        <v>10430</v>
      </c>
      <c r="E7" s="80">
        <f aca="true" t="shared" si="0" ref="E7:N7">D7</f>
        <v>10430</v>
      </c>
      <c r="F7" s="80">
        <f t="shared" si="0"/>
        <v>10430</v>
      </c>
      <c r="G7" s="80">
        <f t="shared" si="0"/>
        <v>10430</v>
      </c>
      <c r="H7" s="80">
        <f t="shared" si="0"/>
        <v>10430</v>
      </c>
      <c r="I7" s="80">
        <f t="shared" si="0"/>
        <v>10430</v>
      </c>
      <c r="J7" s="80">
        <f t="shared" si="0"/>
        <v>10430</v>
      </c>
      <c r="K7" s="80">
        <f t="shared" si="0"/>
        <v>10430</v>
      </c>
      <c r="L7" s="80">
        <f t="shared" si="0"/>
        <v>10430</v>
      </c>
      <c r="M7" s="80">
        <f t="shared" si="0"/>
        <v>10430</v>
      </c>
      <c r="N7" s="80">
        <f t="shared" si="0"/>
        <v>10430</v>
      </c>
      <c r="O7" s="78">
        <f aca="true" t="shared" si="1" ref="O7:O12">SUM(C7:N7)</f>
        <v>125160</v>
      </c>
    </row>
    <row r="8" spans="2:15" ht="14.25">
      <c r="B8" s="11" t="s">
        <v>39</v>
      </c>
      <c r="C8" s="80">
        <f>RH!F24</f>
        <v>387</v>
      </c>
      <c r="D8" s="80">
        <f>C8</f>
        <v>387</v>
      </c>
      <c r="E8" s="80">
        <f aca="true" t="shared" si="2" ref="E8:N8">D8</f>
        <v>387</v>
      </c>
      <c r="F8" s="80">
        <f t="shared" si="2"/>
        <v>387</v>
      </c>
      <c r="G8" s="80">
        <f t="shared" si="2"/>
        <v>387</v>
      </c>
      <c r="H8" s="80">
        <f t="shared" si="2"/>
        <v>387</v>
      </c>
      <c r="I8" s="80">
        <f t="shared" si="2"/>
        <v>387</v>
      </c>
      <c r="J8" s="80">
        <f t="shared" si="2"/>
        <v>387</v>
      </c>
      <c r="K8" s="80">
        <f t="shared" si="2"/>
        <v>387</v>
      </c>
      <c r="L8" s="80">
        <f t="shared" si="2"/>
        <v>387</v>
      </c>
      <c r="M8" s="80">
        <f t="shared" si="2"/>
        <v>387</v>
      </c>
      <c r="N8" s="80">
        <f t="shared" si="2"/>
        <v>387</v>
      </c>
      <c r="O8" s="78">
        <f t="shared" si="1"/>
        <v>4644</v>
      </c>
    </row>
    <row r="9" spans="2:15" ht="14.25">
      <c r="B9" s="11" t="s">
        <v>40</v>
      </c>
      <c r="C9" s="80">
        <f>RH!G24</f>
        <v>834.4000000000001</v>
      </c>
      <c r="D9" s="80">
        <f aca="true" t="shared" si="3" ref="D9:N20">C9</f>
        <v>834.4000000000001</v>
      </c>
      <c r="E9" s="80">
        <f t="shared" si="3"/>
        <v>834.4000000000001</v>
      </c>
      <c r="F9" s="80">
        <f t="shared" si="3"/>
        <v>834.4000000000001</v>
      </c>
      <c r="G9" s="80">
        <f t="shared" si="3"/>
        <v>834.4000000000001</v>
      </c>
      <c r="H9" s="80">
        <f t="shared" si="3"/>
        <v>834.4000000000001</v>
      </c>
      <c r="I9" s="80">
        <f t="shared" si="3"/>
        <v>834.4000000000001</v>
      </c>
      <c r="J9" s="80">
        <f t="shared" si="3"/>
        <v>834.4000000000001</v>
      </c>
      <c r="K9" s="80">
        <f t="shared" si="3"/>
        <v>834.4000000000001</v>
      </c>
      <c r="L9" s="80">
        <f t="shared" si="3"/>
        <v>834.4000000000001</v>
      </c>
      <c r="M9" s="80">
        <f t="shared" si="3"/>
        <v>834.4000000000001</v>
      </c>
      <c r="N9" s="80">
        <f t="shared" si="3"/>
        <v>834.4000000000001</v>
      </c>
      <c r="O9" s="78">
        <f t="shared" si="1"/>
        <v>10012.799999999997</v>
      </c>
    </row>
    <row r="10" spans="2:15" ht="14.25">
      <c r="B10" s="11" t="s">
        <v>143</v>
      </c>
      <c r="C10" s="80">
        <f>RH!H24</f>
        <v>665.2800000000001</v>
      </c>
      <c r="D10" s="80">
        <f t="shared" si="3"/>
        <v>665.2800000000001</v>
      </c>
      <c r="E10" s="80">
        <f t="shared" si="3"/>
        <v>665.2800000000001</v>
      </c>
      <c r="F10" s="80">
        <f t="shared" si="3"/>
        <v>665.2800000000001</v>
      </c>
      <c r="G10" s="80">
        <f t="shared" si="3"/>
        <v>665.2800000000001</v>
      </c>
      <c r="H10" s="80">
        <f t="shared" si="3"/>
        <v>665.2800000000001</v>
      </c>
      <c r="I10" s="80">
        <f t="shared" si="3"/>
        <v>665.2800000000001</v>
      </c>
      <c r="J10" s="80">
        <f t="shared" si="3"/>
        <v>665.2800000000001</v>
      </c>
      <c r="K10" s="80">
        <f t="shared" si="3"/>
        <v>665.2800000000001</v>
      </c>
      <c r="L10" s="80">
        <f t="shared" si="3"/>
        <v>665.2800000000001</v>
      </c>
      <c r="M10" s="80">
        <f t="shared" si="3"/>
        <v>665.2800000000001</v>
      </c>
      <c r="N10" s="80">
        <f t="shared" si="3"/>
        <v>665.2800000000001</v>
      </c>
      <c r="O10" s="78">
        <f t="shared" si="1"/>
        <v>7983.36</v>
      </c>
    </row>
    <row r="11" spans="2:15" ht="14.25">
      <c r="B11" s="11" t="s">
        <v>27</v>
      </c>
      <c r="C11" s="80">
        <f>RH!I24</f>
        <v>466</v>
      </c>
      <c r="D11" s="80">
        <f t="shared" si="3"/>
        <v>466</v>
      </c>
      <c r="E11" s="80">
        <f t="shared" si="3"/>
        <v>466</v>
      </c>
      <c r="F11" s="80">
        <f t="shared" si="3"/>
        <v>466</v>
      </c>
      <c r="G11" s="80">
        <f t="shared" si="3"/>
        <v>466</v>
      </c>
      <c r="H11" s="80">
        <f t="shared" si="3"/>
        <v>466</v>
      </c>
      <c r="I11" s="80">
        <f t="shared" si="3"/>
        <v>466</v>
      </c>
      <c r="J11" s="80">
        <f t="shared" si="3"/>
        <v>466</v>
      </c>
      <c r="K11" s="80">
        <f t="shared" si="3"/>
        <v>466</v>
      </c>
      <c r="L11" s="80">
        <f t="shared" si="3"/>
        <v>466</v>
      </c>
      <c r="M11" s="80">
        <f t="shared" si="3"/>
        <v>466</v>
      </c>
      <c r="N11" s="80">
        <f t="shared" si="3"/>
        <v>466</v>
      </c>
      <c r="O11" s="78">
        <f t="shared" si="1"/>
        <v>5592</v>
      </c>
    </row>
    <row r="12" spans="2:15" ht="14.25">
      <c r="B12" s="11" t="s">
        <v>23</v>
      </c>
      <c r="C12" s="80">
        <f>RH!J24</f>
        <v>1848</v>
      </c>
      <c r="D12" s="80">
        <f t="shared" si="3"/>
        <v>1848</v>
      </c>
      <c r="E12" s="80">
        <f t="shared" si="3"/>
        <v>1848</v>
      </c>
      <c r="F12" s="80">
        <f t="shared" si="3"/>
        <v>1848</v>
      </c>
      <c r="G12" s="80">
        <f t="shared" si="3"/>
        <v>1848</v>
      </c>
      <c r="H12" s="80">
        <f t="shared" si="3"/>
        <v>1848</v>
      </c>
      <c r="I12" s="80">
        <f t="shared" si="3"/>
        <v>1848</v>
      </c>
      <c r="J12" s="80">
        <f t="shared" si="3"/>
        <v>1848</v>
      </c>
      <c r="K12" s="80">
        <f t="shared" si="3"/>
        <v>1848</v>
      </c>
      <c r="L12" s="80">
        <f t="shared" si="3"/>
        <v>1848</v>
      </c>
      <c r="M12" s="80">
        <f t="shared" si="3"/>
        <v>1848</v>
      </c>
      <c r="N12" s="80">
        <f t="shared" si="3"/>
        <v>1848</v>
      </c>
      <c r="O12" s="78">
        <f t="shared" si="1"/>
        <v>22176</v>
      </c>
    </row>
    <row r="13" spans="2:15" ht="14.25">
      <c r="B13" s="11" t="s">
        <v>54</v>
      </c>
      <c r="C13" s="80">
        <f>+RH!K24</f>
        <v>1158.8888888888891</v>
      </c>
      <c r="D13" s="80">
        <f t="shared" si="3"/>
        <v>1158.8888888888891</v>
      </c>
      <c r="E13" s="80">
        <f t="shared" si="3"/>
        <v>1158.8888888888891</v>
      </c>
      <c r="F13" s="80">
        <f t="shared" si="3"/>
        <v>1158.8888888888891</v>
      </c>
      <c r="G13" s="80">
        <f t="shared" si="3"/>
        <v>1158.8888888888891</v>
      </c>
      <c r="H13" s="80">
        <f t="shared" si="3"/>
        <v>1158.8888888888891</v>
      </c>
      <c r="I13" s="80">
        <f t="shared" si="3"/>
        <v>1158.8888888888891</v>
      </c>
      <c r="J13" s="80">
        <f t="shared" si="3"/>
        <v>1158.8888888888891</v>
      </c>
      <c r="K13" s="80">
        <f t="shared" si="3"/>
        <v>1158.8888888888891</v>
      </c>
      <c r="L13" s="80">
        <f t="shared" si="3"/>
        <v>1158.8888888888891</v>
      </c>
      <c r="M13" s="80">
        <f t="shared" si="3"/>
        <v>1158.8888888888891</v>
      </c>
      <c r="N13" s="80">
        <f t="shared" si="3"/>
        <v>1158.8888888888891</v>
      </c>
      <c r="O13" s="78">
        <f aca="true" t="shared" si="4" ref="O13:O18">SUM(C13:N13)</f>
        <v>13906.666666666666</v>
      </c>
    </row>
    <row r="14" spans="2:15" ht="14.25">
      <c r="B14" s="11" t="s">
        <v>55</v>
      </c>
      <c r="C14" s="80">
        <f>+RH!L24</f>
        <v>43</v>
      </c>
      <c r="D14" s="80">
        <f t="shared" si="3"/>
        <v>43</v>
      </c>
      <c r="E14" s="80">
        <f t="shared" si="3"/>
        <v>43</v>
      </c>
      <c r="F14" s="80">
        <f t="shared" si="3"/>
        <v>43</v>
      </c>
      <c r="G14" s="80">
        <f t="shared" si="3"/>
        <v>43</v>
      </c>
      <c r="H14" s="80">
        <f t="shared" si="3"/>
        <v>43</v>
      </c>
      <c r="I14" s="80">
        <f t="shared" si="3"/>
        <v>43</v>
      </c>
      <c r="J14" s="80">
        <f t="shared" si="3"/>
        <v>43</v>
      </c>
      <c r="K14" s="80">
        <f t="shared" si="3"/>
        <v>43</v>
      </c>
      <c r="L14" s="80">
        <f t="shared" si="3"/>
        <v>43</v>
      </c>
      <c r="M14" s="80">
        <f t="shared" si="3"/>
        <v>43</v>
      </c>
      <c r="N14" s="80">
        <f t="shared" si="3"/>
        <v>43</v>
      </c>
      <c r="O14" s="78">
        <f t="shared" si="4"/>
        <v>516</v>
      </c>
    </row>
    <row r="15" spans="2:15" ht="14.25">
      <c r="B15" s="11" t="s">
        <v>56</v>
      </c>
      <c r="C15" s="80">
        <f>+RH!M24</f>
        <v>92.71111111111111</v>
      </c>
      <c r="D15" s="80">
        <f t="shared" si="3"/>
        <v>92.71111111111111</v>
      </c>
      <c r="E15" s="80">
        <f t="shared" si="3"/>
        <v>92.71111111111111</v>
      </c>
      <c r="F15" s="80">
        <f t="shared" si="3"/>
        <v>92.71111111111111</v>
      </c>
      <c r="G15" s="80">
        <f t="shared" si="3"/>
        <v>92.71111111111111</v>
      </c>
      <c r="H15" s="80">
        <f t="shared" si="3"/>
        <v>92.71111111111111</v>
      </c>
      <c r="I15" s="80">
        <f t="shared" si="3"/>
        <v>92.71111111111111</v>
      </c>
      <c r="J15" s="80">
        <f t="shared" si="3"/>
        <v>92.71111111111111</v>
      </c>
      <c r="K15" s="80">
        <f t="shared" si="3"/>
        <v>92.71111111111111</v>
      </c>
      <c r="L15" s="80">
        <f t="shared" si="3"/>
        <v>92.71111111111111</v>
      </c>
      <c r="M15" s="80">
        <f t="shared" si="3"/>
        <v>92.71111111111111</v>
      </c>
      <c r="N15" s="80">
        <f t="shared" si="3"/>
        <v>92.71111111111111</v>
      </c>
      <c r="O15" s="78">
        <f t="shared" si="4"/>
        <v>1112.5333333333333</v>
      </c>
    </row>
    <row r="16" spans="2:15" ht="14.25">
      <c r="B16" s="11" t="s">
        <v>57</v>
      </c>
      <c r="C16" s="80">
        <f>+RH!N24</f>
        <v>869.1666666666666</v>
      </c>
      <c r="D16" s="80">
        <f t="shared" si="3"/>
        <v>869.1666666666666</v>
      </c>
      <c r="E16" s="80">
        <f t="shared" si="3"/>
        <v>869.1666666666666</v>
      </c>
      <c r="F16" s="80">
        <f t="shared" si="3"/>
        <v>869.1666666666666</v>
      </c>
      <c r="G16" s="80">
        <f t="shared" si="3"/>
        <v>869.1666666666666</v>
      </c>
      <c r="H16" s="80">
        <f t="shared" si="3"/>
        <v>869.1666666666666</v>
      </c>
      <c r="I16" s="80">
        <f t="shared" si="3"/>
        <v>869.1666666666666</v>
      </c>
      <c r="J16" s="80">
        <f t="shared" si="3"/>
        <v>869.1666666666666</v>
      </c>
      <c r="K16" s="80">
        <f t="shared" si="3"/>
        <v>869.1666666666666</v>
      </c>
      <c r="L16" s="80">
        <f t="shared" si="3"/>
        <v>869.1666666666666</v>
      </c>
      <c r="M16" s="80">
        <f t="shared" si="3"/>
        <v>869.1666666666666</v>
      </c>
      <c r="N16" s="80">
        <f t="shared" si="3"/>
        <v>869.1666666666666</v>
      </c>
      <c r="O16" s="78">
        <f t="shared" si="4"/>
        <v>10430</v>
      </c>
    </row>
    <row r="17" spans="2:15" ht="14.25">
      <c r="B17" s="11" t="s">
        <v>58</v>
      </c>
      <c r="C17" s="80">
        <f>+RH!O24</f>
        <v>32.25</v>
      </c>
      <c r="D17" s="80">
        <f t="shared" si="3"/>
        <v>32.25</v>
      </c>
      <c r="E17" s="80">
        <f t="shared" si="3"/>
        <v>32.25</v>
      </c>
      <c r="F17" s="80">
        <f t="shared" si="3"/>
        <v>32.25</v>
      </c>
      <c r="G17" s="80">
        <f t="shared" si="3"/>
        <v>32.25</v>
      </c>
      <c r="H17" s="80">
        <f t="shared" si="3"/>
        <v>32.25</v>
      </c>
      <c r="I17" s="80">
        <f t="shared" si="3"/>
        <v>32.25</v>
      </c>
      <c r="J17" s="80">
        <f t="shared" si="3"/>
        <v>32.25</v>
      </c>
      <c r="K17" s="80">
        <f t="shared" si="3"/>
        <v>32.25</v>
      </c>
      <c r="L17" s="80">
        <f t="shared" si="3"/>
        <v>32.25</v>
      </c>
      <c r="M17" s="80">
        <f t="shared" si="3"/>
        <v>32.25</v>
      </c>
      <c r="N17" s="80">
        <f t="shared" si="3"/>
        <v>32.25</v>
      </c>
      <c r="O17" s="78">
        <f t="shared" si="4"/>
        <v>387</v>
      </c>
    </row>
    <row r="18" spans="2:15" ht="14.25">
      <c r="B18" s="11" t="s">
        <v>59</v>
      </c>
      <c r="C18" s="80">
        <f>+RH!P24</f>
        <v>69.53333333333333</v>
      </c>
      <c r="D18" s="80">
        <f t="shared" si="3"/>
        <v>69.53333333333333</v>
      </c>
      <c r="E18" s="80">
        <f t="shared" si="3"/>
        <v>69.53333333333333</v>
      </c>
      <c r="F18" s="80">
        <f t="shared" si="3"/>
        <v>69.53333333333333</v>
      </c>
      <c r="G18" s="80">
        <f t="shared" si="3"/>
        <v>69.53333333333333</v>
      </c>
      <c r="H18" s="80">
        <f t="shared" si="3"/>
        <v>69.53333333333333</v>
      </c>
      <c r="I18" s="80">
        <f t="shared" si="3"/>
        <v>69.53333333333333</v>
      </c>
      <c r="J18" s="80">
        <f t="shared" si="3"/>
        <v>69.53333333333333</v>
      </c>
      <c r="K18" s="80">
        <f t="shared" si="3"/>
        <v>69.53333333333333</v>
      </c>
      <c r="L18" s="80">
        <f t="shared" si="3"/>
        <v>69.53333333333333</v>
      </c>
      <c r="M18" s="80">
        <f t="shared" si="3"/>
        <v>69.53333333333333</v>
      </c>
      <c r="N18" s="80">
        <f t="shared" si="3"/>
        <v>69.53333333333333</v>
      </c>
      <c r="O18" s="78">
        <f t="shared" si="4"/>
        <v>834.3999999999997</v>
      </c>
    </row>
    <row r="19" spans="2:15" ht="14.25">
      <c r="B19" s="11" t="s">
        <v>24</v>
      </c>
      <c r="C19" s="80">
        <v>1300</v>
      </c>
      <c r="D19" s="80">
        <f>C19</f>
        <v>1300</v>
      </c>
      <c r="E19" s="80">
        <f t="shared" si="3"/>
        <v>1300</v>
      </c>
      <c r="F19" s="80">
        <f t="shared" si="3"/>
        <v>1300</v>
      </c>
      <c r="G19" s="80">
        <f t="shared" si="3"/>
        <v>1300</v>
      </c>
      <c r="H19" s="80">
        <f t="shared" si="3"/>
        <v>1300</v>
      </c>
      <c r="I19" s="80">
        <f t="shared" si="3"/>
        <v>1300</v>
      </c>
      <c r="J19" s="80">
        <f t="shared" si="3"/>
        <v>1300</v>
      </c>
      <c r="K19" s="80">
        <f t="shared" si="3"/>
        <v>1300</v>
      </c>
      <c r="L19" s="80">
        <f t="shared" si="3"/>
        <v>1300</v>
      </c>
      <c r="M19" s="80">
        <f t="shared" si="3"/>
        <v>1300</v>
      </c>
      <c r="N19" s="80">
        <f t="shared" si="3"/>
        <v>1300</v>
      </c>
      <c r="O19" s="78">
        <f>SUM(C19:N19)</f>
        <v>15600</v>
      </c>
    </row>
    <row r="20" spans="2:15" ht="14.25">
      <c r="B20" s="11" t="s">
        <v>60</v>
      </c>
      <c r="C20" s="80">
        <v>2300</v>
      </c>
      <c r="D20" s="80">
        <f>C20</f>
        <v>2300</v>
      </c>
      <c r="E20" s="80">
        <f t="shared" si="3"/>
        <v>2300</v>
      </c>
      <c r="F20" s="80">
        <f t="shared" si="3"/>
        <v>2300</v>
      </c>
      <c r="G20" s="80">
        <f t="shared" si="3"/>
        <v>2300</v>
      </c>
      <c r="H20" s="80">
        <f t="shared" si="3"/>
        <v>2300</v>
      </c>
      <c r="I20" s="80">
        <f t="shared" si="3"/>
        <v>2300</v>
      </c>
      <c r="J20" s="80">
        <f t="shared" si="3"/>
        <v>2300</v>
      </c>
      <c r="K20" s="80">
        <f t="shared" si="3"/>
        <v>2300</v>
      </c>
      <c r="L20" s="80">
        <f t="shared" si="3"/>
        <v>2300</v>
      </c>
      <c r="M20" s="80">
        <f t="shared" si="3"/>
        <v>2300</v>
      </c>
      <c r="N20" s="80">
        <f t="shared" si="3"/>
        <v>2300</v>
      </c>
      <c r="O20" s="78">
        <f>SUM(C20:N20)</f>
        <v>27600</v>
      </c>
    </row>
    <row r="21" spans="2:15" ht="15">
      <c r="B21" s="64" t="s">
        <v>5</v>
      </c>
      <c r="C21" s="81">
        <f>SUM(C7:C20)</f>
        <v>20496.23</v>
      </c>
      <c r="D21" s="81">
        <f>SUM(D7:D20)</f>
        <v>20496.23</v>
      </c>
      <c r="E21" s="81">
        <f>SUM(E7:E20)</f>
        <v>20496.23</v>
      </c>
      <c r="F21" s="81">
        <f>SUM(F7:F20)</f>
        <v>20496.23</v>
      </c>
      <c r="G21" s="81">
        <f>SUM(G7:G20)</f>
        <v>20496.23</v>
      </c>
      <c r="H21" s="81">
        <f aca="true" t="shared" si="5" ref="H21:N21">SUM(H7:H20)</f>
        <v>20496.23</v>
      </c>
      <c r="I21" s="81">
        <f t="shared" si="5"/>
        <v>20496.23</v>
      </c>
      <c r="J21" s="81">
        <f t="shared" si="5"/>
        <v>20496.23</v>
      </c>
      <c r="K21" s="81">
        <f t="shared" si="5"/>
        <v>20496.23</v>
      </c>
      <c r="L21" s="81">
        <f t="shared" si="5"/>
        <v>20496.23</v>
      </c>
      <c r="M21" s="81">
        <f t="shared" si="5"/>
        <v>20496.23</v>
      </c>
      <c r="N21" s="81">
        <f t="shared" si="5"/>
        <v>20496.23</v>
      </c>
      <c r="O21" s="82">
        <f>SUM(O7:O20)</f>
        <v>245954.75999999995</v>
      </c>
    </row>
    <row r="22" spans="2:15" ht="6.75" customHeight="1">
      <c r="B22" s="11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78"/>
    </row>
    <row r="23" spans="2:15" ht="15">
      <c r="B23" s="12" t="s">
        <v>20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78"/>
    </row>
    <row r="24" spans="2:15" ht="14.25">
      <c r="B24" s="11" t="s">
        <v>62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78">
        <f>SUM(C24:N24)</f>
        <v>0</v>
      </c>
    </row>
    <row r="25" spans="2:15" ht="14.25">
      <c r="B25" s="11" t="s">
        <v>61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78">
        <f>SUM(C25:N25)</f>
        <v>0</v>
      </c>
    </row>
    <row r="26" spans="2:15" ht="15">
      <c r="B26" s="64" t="s">
        <v>5</v>
      </c>
      <c r="C26" s="81">
        <f aca="true" t="shared" si="6" ref="C26:N26">SUM(C24:C25)</f>
        <v>0</v>
      </c>
      <c r="D26" s="81">
        <f t="shared" si="6"/>
        <v>0</v>
      </c>
      <c r="E26" s="81">
        <f t="shared" si="6"/>
        <v>0</v>
      </c>
      <c r="F26" s="81">
        <f t="shared" si="6"/>
        <v>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f t="shared" si="6"/>
        <v>0</v>
      </c>
      <c r="L26" s="81">
        <f t="shared" si="6"/>
        <v>0</v>
      </c>
      <c r="M26" s="81">
        <f t="shared" si="6"/>
        <v>0</v>
      </c>
      <c r="N26" s="81">
        <f t="shared" si="6"/>
        <v>0</v>
      </c>
      <c r="O26" s="82">
        <f>SUM(C26:N26)</f>
        <v>0</v>
      </c>
    </row>
    <row r="27" spans="2:15" ht="8.25" customHeight="1">
      <c r="B27" s="1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78"/>
    </row>
    <row r="28" spans="2:15" ht="15">
      <c r="B28" s="12" t="s">
        <v>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78"/>
    </row>
    <row r="29" spans="2:15" s="207" customFormat="1" ht="14.25">
      <c r="B29" s="11" t="s">
        <v>9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78">
        <f aca="true" t="shared" si="7" ref="O29:O36">SUM(C29:N29)</f>
        <v>0</v>
      </c>
    </row>
    <row r="30" spans="2:15" ht="15">
      <c r="B30" s="11" t="s">
        <v>66</v>
      </c>
      <c r="C30" s="80">
        <f>(-C4/1.05)+C4</f>
        <v>0</v>
      </c>
      <c r="D30" s="80">
        <f aca="true" t="shared" si="8" ref="D30:N30">(-D4/1.05)+D4</f>
        <v>0</v>
      </c>
      <c r="E30" s="80">
        <f t="shared" si="8"/>
        <v>0</v>
      </c>
      <c r="F30" s="80">
        <f t="shared" si="8"/>
        <v>0</v>
      </c>
      <c r="G30" s="80">
        <f t="shared" si="8"/>
        <v>0</v>
      </c>
      <c r="H30" s="80">
        <f t="shared" si="8"/>
        <v>0</v>
      </c>
      <c r="I30" s="80">
        <f t="shared" si="8"/>
        <v>0</v>
      </c>
      <c r="J30" s="80">
        <f t="shared" si="8"/>
        <v>0</v>
      </c>
      <c r="K30" s="80">
        <f t="shared" si="8"/>
        <v>0</v>
      </c>
      <c r="L30" s="80">
        <f t="shared" si="8"/>
        <v>0</v>
      </c>
      <c r="M30" s="80">
        <f t="shared" si="8"/>
        <v>0</v>
      </c>
      <c r="N30" s="80">
        <f t="shared" si="8"/>
        <v>0</v>
      </c>
      <c r="O30" s="78">
        <f t="shared" si="7"/>
        <v>0</v>
      </c>
    </row>
    <row r="31" spans="2:15" ht="15">
      <c r="B31" s="11" t="s">
        <v>65</v>
      </c>
      <c r="C31" s="80">
        <f>(C4*0.18)</f>
        <v>0</v>
      </c>
      <c r="D31" s="80">
        <f aca="true" t="shared" si="9" ref="D31:N31">(D4*0.18)</f>
        <v>0</v>
      </c>
      <c r="E31" s="80">
        <f t="shared" si="9"/>
        <v>0</v>
      </c>
      <c r="F31" s="80">
        <f t="shared" si="9"/>
        <v>0</v>
      </c>
      <c r="G31" s="80">
        <f t="shared" si="9"/>
        <v>0</v>
      </c>
      <c r="H31" s="80">
        <f t="shared" si="9"/>
        <v>0</v>
      </c>
      <c r="I31" s="80">
        <f t="shared" si="9"/>
        <v>0</v>
      </c>
      <c r="J31" s="80">
        <f t="shared" si="9"/>
        <v>0</v>
      </c>
      <c r="K31" s="80">
        <f t="shared" si="9"/>
        <v>0</v>
      </c>
      <c r="L31" s="80">
        <f t="shared" si="9"/>
        <v>0</v>
      </c>
      <c r="M31" s="80">
        <f t="shared" si="9"/>
        <v>0</v>
      </c>
      <c r="N31" s="80">
        <f t="shared" si="9"/>
        <v>0</v>
      </c>
      <c r="O31" s="78">
        <f t="shared" si="7"/>
        <v>0</v>
      </c>
    </row>
    <row r="32" spans="2:15" ht="15">
      <c r="B32" s="11" t="s">
        <v>67</v>
      </c>
      <c r="C32" s="80">
        <f aca="true" t="shared" si="10" ref="C32:H32">+C4*0.0365</f>
        <v>0</v>
      </c>
      <c r="D32" s="80">
        <f t="shared" si="10"/>
        <v>0</v>
      </c>
      <c r="E32" s="80">
        <f t="shared" si="10"/>
        <v>0</v>
      </c>
      <c r="F32" s="80">
        <f t="shared" si="10"/>
        <v>0</v>
      </c>
      <c r="G32" s="80">
        <f t="shared" si="10"/>
        <v>0</v>
      </c>
      <c r="H32" s="80">
        <f t="shared" si="10"/>
        <v>0</v>
      </c>
      <c r="I32" s="80">
        <f aca="true" t="shared" si="11" ref="I32:N32">+I4*0.0365</f>
        <v>0</v>
      </c>
      <c r="J32" s="80">
        <f t="shared" si="11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0">
        <f t="shared" si="11"/>
        <v>0</v>
      </c>
      <c r="O32" s="78">
        <f t="shared" si="7"/>
        <v>0</v>
      </c>
    </row>
    <row r="33" spans="2:15" ht="14.25">
      <c r="B33" s="11" t="s">
        <v>10</v>
      </c>
      <c r="C33" s="80">
        <f aca="true" t="shared" si="12" ref="C33:H33">((C4)*0.012)</f>
        <v>0</v>
      </c>
      <c r="D33" s="80">
        <f t="shared" si="12"/>
        <v>0</v>
      </c>
      <c r="E33" s="80">
        <f t="shared" si="12"/>
        <v>0</v>
      </c>
      <c r="F33" s="80">
        <f t="shared" si="12"/>
        <v>0</v>
      </c>
      <c r="G33" s="80">
        <f t="shared" si="12"/>
        <v>0</v>
      </c>
      <c r="H33" s="80">
        <f t="shared" si="12"/>
        <v>0</v>
      </c>
      <c r="I33" s="80">
        <f aca="true" t="shared" si="13" ref="I33:N33">((I4)*0.012)</f>
        <v>0</v>
      </c>
      <c r="J33" s="80">
        <f t="shared" si="13"/>
        <v>0</v>
      </c>
      <c r="K33" s="80">
        <f t="shared" si="13"/>
        <v>0</v>
      </c>
      <c r="L33" s="80">
        <f t="shared" si="13"/>
        <v>0</v>
      </c>
      <c r="M33" s="80">
        <f t="shared" si="13"/>
        <v>0</v>
      </c>
      <c r="N33" s="80">
        <f t="shared" si="13"/>
        <v>0</v>
      </c>
      <c r="O33" s="78">
        <f t="shared" si="7"/>
        <v>0</v>
      </c>
    </row>
    <row r="34" spans="2:15" ht="14.25">
      <c r="B34" s="11" t="s">
        <v>84</v>
      </c>
      <c r="C34" s="80">
        <f aca="true" t="shared" si="14" ref="C34:H34">(C4)*0.0108</f>
        <v>0</v>
      </c>
      <c r="D34" s="80">
        <f t="shared" si="14"/>
        <v>0</v>
      </c>
      <c r="E34" s="80">
        <f t="shared" si="14"/>
        <v>0</v>
      </c>
      <c r="F34" s="80">
        <f t="shared" si="14"/>
        <v>0</v>
      </c>
      <c r="G34" s="80">
        <f t="shared" si="14"/>
        <v>0</v>
      </c>
      <c r="H34" s="80">
        <f t="shared" si="14"/>
        <v>0</v>
      </c>
      <c r="I34" s="80">
        <f aca="true" t="shared" si="15" ref="I34:N34">(I4)*0.0108</f>
        <v>0</v>
      </c>
      <c r="J34" s="80">
        <f t="shared" si="15"/>
        <v>0</v>
      </c>
      <c r="K34" s="80">
        <f t="shared" si="15"/>
        <v>0</v>
      </c>
      <c r="L34" s="80">
        <f t="shared" si="15"/>
        <v>0</v>
      </c>
      <c r="M34" s="80">
        <f t="shared" si="15"/>
        <v>0</v>
      </c>
      <c r="N34" s="80">
        <f t="shared" si="15"/>
        <v>0</v>
      </c>
      <c r="O34" s="78">
        <f t="shared" si="7"/>
        <v>0</v>
      </c>
    </row>
    <row r="35" spans="2:15" ht="14.25">
      <c r="B35" s="11" t="s">
        <v>11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78">
        <f t="shared" si="7"/>
        <v>0</v>
      </c>
    </row>
    <row r="36" spans="2:15" ht="15">
      <c r="B36" s="65" t="s">
        <v>5</v>
      </c>
      <c r="C36" s="81">
        <f>SUM(C29:C35)</f>
        <v>0</v>
      </c>
      <c r="D36" s="81">
        <f aca="true" t="shared" si="16" ref="D36:N36">SUM(D29:D35)</f>
        <v>0</v>
      </c>
      <c r="E36" s="81">
        <f t="shared" si="16"/>
        <v>0</v>
      </c>
      <c r="F36" s="81">
        <f t="shared" si="16"/>
        <v>0</v>
      </c>
      <c r="G36" s="81">
        <f t="shared" si="16"/>
        <v>0</v>
      </c>
      <c r="H36" s="81">
        <f t="shared" si="16"/>
        <v>0</v>
      </c>
      <c r="I36" s="81">
        <f t="shared" si="16"/>
        <v>0</v>
      </c>
      <c r="J36" s="81">
        <f t="shared" si="16"/>
        <v>0</v>
      </c>
      <c r="K36" s="81">
        <f t="shared" si="16"/>
        <v>0</v>
      </c>
      <c r="L36" s="81">
        <f t="shared" si="16"/>
        <v>0</v>
      </c>
      <c r="M36" s="81">
        <f t="shared" si="16"/>
        <v>0</v>
      </c>
      <c r="N36" s="81">
        <f t="shared" si="16"/>
        <v>0</v>
      </c>
      <c r="O36" s="82">
        <f t="shared" si="7"/>
        <v>0</v>
      </c>
    </row>
    <row r="37" spans="2:15" ht="6.75" customHeight="1">
      <c r="B37" s="13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</row>
    <row r="38" spans="2:15" ht="15">
      <c r="B38" s="12" t="s">
        <v>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78"/>
    </row>
    <row r="39" spans="2:15" ht="14.25">
      <c r="B39" s="11" t="s">
        <v>63</v>
      </c>
      <c r="C39" s="80">
        <f>RH!E44</f>
        <v>20360</v>
      </c>
      <c r="D39" s="80">
        <f>C39</f>
        <v>20360</v>
      </c>
      <c r="E39" s="80">
        <f aca="true" t="shared" si="17" ref="E39:O39">D39</f>
        <v>20360</v>
      </c>
      <c r="F39" s="80">
        <f t="shared" si="17"/>
        <v>20360</v>
      </c>
      <c r="G39" s="80">
        <f t="shared" si="17"/>
        <v>20360</v>
      </c>
      <c r="H39" s="80">
        <f t="shared" si="17"/>
        <v>20360</v>
      </c>
      <c r="I39" s="80">
        <f t="shared" si="17"/>
        <v>20360</v>
      </c>
      <c r="J39" s="80">
        <f t="shared" si="17"/>
        <v>20360</v>
      </c>
      <c r="K39" s="80">
        <f t="shared" si="17"/>
        <v>20360</v>
      </c>
      <c r="L39" s="80">
        <f t="shared" si="17"/>
        <v>20360</v>
      </c>
      <c r="M39" s="80">
        <f t="shared" si="17"/>
        <v>20360</v>
      </c>
      <c r="N39" s="80">
        <f t="shared" si="17"/>
        <v>20360</v>
      </c>
      <c r="O39" s="80">
        <f t="shared" si="17"/>
        <v>20360</v>
      </c>
    </row>
    <row r="40" spans="2:15" ht="14.25">
      <c r="B40" s="11" t="s">
        <v>39</v>
      </c>
      <c r="C40" s="80">
        <f>RH!F44</f>
        <v>861.72</v>
      </c>
      <c r="D40" s="80">
        <f aca="true" t="shared" si="18" ref="D40:O50">C40</f>
        <v>861.72</v>
      </c>
      <c r="E40" s="80">
        <f t="shared" si="18"/>
        <v>861.72</v>
      </c>
      <c r="F40" s="80">
        <f t="shared" si="18"/>
        <v>861.72</v>
      </c>
      <c r="G40" s="80">
        <f t="shared" si="18"/>
        <v>861.72</v>
      </c>
      <c r="H40" s="80">
        <f t="shared" si="18"/>
        <v>861.72</v>
      </c>
      <c r="I40" s="80">
        <f t="shared" si="18"/>
        <v>861.72</v>
      </c>
      <c r="J40" s="80">
        <f t="shared" si="18"/>
        <v>861.72</v>
      </c>
      <c r="K40" s="80">
        <f t="shared" si="18"/>
        <v>861.72</v>
      </c>
      <c r="L40" s="80">
        <f t="shared" si="18"/>
        <v>861.72</v>
      </c>
      <c r="M40" s="80">
        <f t="shared" si="18"/>
        <v>861.72</v>
      </c>
      <c r="N40" s="80">
        <f t="shared" si="18"/>
        <v>861.72</v>
      </c>
      <c r="O40" s="80">
        <f t="shared" si="18"/>
        <v>861.72</v>
      </c>
    </row>
    <row r="41" spans="2:15" ht="14.25">
      <c r="B41" s="11" t="s">
        <v>40</v>
      </c>
      <c r="C41" s="80">
        <f>+RH!G44</f>
        <v>1628.7999999999997</v>
      </c>
      <c r="D41" s="80">
        <f t="shared" si="18"/>
        <v>1628.7999999999997</v>
      </c>
      <c r="E41" s="80">
        <f t="shared" si="18"/>
        <v>1628.7999999999997</v>
      </c>
      <c r="F41" s="80">
        <f t="shared" si="18"/>
        <v>1628.7999999999997</v>
      </c>
      <c r="G41" s="80">
        <f t="shared" si="18"/>
        <v>1628.7999999999997</v>
      </c>
      <c r="H41" s="80">
        <f t="shared" si="18"/>
        <v>1628.7999999999997</v>
      </c>
      <c r="I41" s="80">
        <f t="shared" si="18"/>
        <v>1628.7999999999997</v>
      </c>
      <c r="J41" s="80">
        <f t="shared" si="18"/>
        <v>1628.7999999999997</v>
      </c>
      <c r="K41" s="80">
        <f t="shared" si="18"/>
        <v>1628.7999999999997</v>
      </c>
      <c r="L41" s="80">
        <f t="shared" si="18"/>
        <v>1628.7999999999997</v>
      </c>
      <c r="M41" s="80">
        <f t="shared" si="18"/>
        <v>1628.7999999999997</v>
      </c>
      <c r="N41" s="80">
        <f t="shared" si="18"/>
        <v>1628.7999999999997</v>
      </c>
      <c r="O41" s="80">
        <f t="shared" si="18"/>
        <v>1628.7999999999997</v>
      </c>
    </row>
    <row r="42" spans="2:15" ht="14.25">
      <c r="B42" s="11" t="s">
        <v>143</v>
      </c>
      <c r="C42" s="80">
        <f>+RH!H44</f>
        <v>1075.5000000000002</v>
      </c>
      <c r="D42" s="80">
        <f t="shared" si="18"/>
        <v>1075.5000000000002</v>
      </c>
      <c r="E42" s="80">
        <f t="shared" si="18"/>
        <v>1075.5000000000002</v>
      </c>
      <c r="F42" s="80">
        <f t="shared" si="18"/>
        <v>1075.5000000000002</v>
      </c>
      <c r="G42" s="80">
        <f t="shared" si="18"/>
        <v>1075.5000000000002</v>
      </c>
      <c r="H42" s="80">
        <f t="shared" si="18"/>
        <v>1075.5000000000002</v>
      </c>
      <c r="I42" s="80">
        <f t="shared" si="18"/>
        <v>1075.5000000000002</v>
      </c>
      <c r="J42" s="80">
        <f t="shared" si="18"/>
        <v>1075.5000000000002</v>
      </c>
      <c r="K42" s="80">
        <f t="shared" si="18"/>
        <v>1075.5000000000002</v>
      </c>
      <c r="L42" s="80">
        <f t="shared" si="18"/>
        <v>1075.5000000000002</v>
      </c>
      <c r="M42" s="80">
        <f t="shared" si="18"/>
        <v>1075.5000000000002</v>
      </c>
      <c r="N42" s="80">
        <f t="shared" si="18"/>
        <v>1075.5000000000002</v>
      </c>
      <c r="O42" s="80">
        <f t="shared" si="18"/>
        <v>1075.5000000000002</v>
      </c>
    </row>
    <row r="43" spans="2:15" ht="14.25">
      <c r="B43" s="11" t="s">
        <v>27</v>
      </c>
      <c r="C43" s="80">
        <f>+RH!I44</f>
        <v>340</v>
      </c>
      <c r="D43" s="80">
        <f t="shared" si="18"/>
        <v>340</v>
      </c>
      <c r="E43" s="80">
        <f t="shared" si="18"/>
        <v>340</v>
      </c>
      <c r="F43" s="80">
        <f t="shared" si="18"/>
        <v>340</v>
      </c>
      <c r="G43" s="80">
        <f t="shared" si="18"/>
        <v>340</v>
      </c>
      <c r="H43" s="80">
        <f t="shared" si="18"/>
        <v>340</v>
      </c>
      <c r="I43" s="80">
        <f t="shared" si="18"/>
        <v>340</v>
      </c>
      <c r="J43" s="80">
        <f t="shared" si="18"/>
        <v>340</v>
      </c>
      <c r="K43" s="80">
        <f t="shared" si="18"/>
        <v>340</v>
      </c>
      <c r="L43" s="80">
        <f t="shared" si="18"/>
        <v>340</v>
      </c>
      <c r="M43" s="80">
        <f t="shared" si="18"/>
        <v>340</v>
      </c>
      <c r="N43" s="80">
        <f t="shared" si="18"/>
        <v>340</v>
      </c>
      <c r="O43" s="80">
        <f t="shared" si="18"/>
        <v>340</v>
      </c>
    </row>
    <row r="44" spans="2:15" ht="14.25">
      <c r="B44" s="11" t="s">
        <v>144</v>
      </c>
      <c r="C44" s="80">
        <f>+RH!J44</f>
        <v>2772</v>
      </c>
      <c r="D44" s="80">
        <f t="shared" si="18"/>
        <v>2772</v>
      </c>
      <c r="E44" s="80">
        <f t="shared" si="18"/>
        <v>2772</v>
      </c>
      <c r="F44" s="80">
        <f t="shared" si="18"/>
        <v>2772</v>
      </c>
      <c r="G44" s="80">
        <f t="shared" si="18"/>
        <v>2772</v>
      </c>
      <c r="H44" s="80">
        <f t="shared" si="18"/>
        <v>2772</v>
      </c>
      <c r="I44" s="80">
        <f t="shared" si="18"/>
        <v>2772</v>
      </c>
      <c r="J44" s="80">
        <f t="shared" si="18"/>
        <v>2772</v>
      </c>
      <c r="K44" s="80">
        <f t="shared" si="18"/>
        <v>2772</v>
      </c>
      <c r="L44" s="80">
        <f t="shared" si="18"/>
        <v>2772</v>
      </c>
      <c r="M44" s="80">
        <f t="shared" si="18"/>
        <v>2772</v>
      </c>
      <c r="N44" s="80">
        <f t="shared" si="18"/>
        <v>2772</v>
      </c>
      <c r="O44" s="80">
        <f t="shared" si="18"/>
        <v>2772</v>
      </c>
    </row>
    <row r="45" spans="2:15" ht="14.25">
      <c r="B45" s="11" t="s">
        <v>54</v>
      </c>
      <c r="C45" s="80">
        <f>+RH!K44</f>
        <v>2262.2222222222217</v>
      </c>
      <c r="D45" s="80">
        <f t="shared" si="18"/>
        <v>2262.2222222222217</v>
      </c>
      <c r="E45" s="80">
        <f t="shared" si="18"/>
        <v>2262.2222222222217</v>
      </c>
      <c r="F45" s="80">
        <f t="shared" si="18"/>
        <v>2262.2222222222217</v>
      </c>
      <c r="G45" s="80">
        <f t="shared" si="18"/>
        <v>2262.2222222222217</v>
      </c>
      <c r="H45" s="80">
        <f t="shared" si="18"/>
        <v>2262.2222222222217</v>
      </c>
      <c r="I45" s="80">
        <f t="shared" si="18"/>
        <v>2262.2222222222217</v>
      </c>
      <c r="J45" s="80">
        <f t="shared" si="18"/>
        <v>2262.2222222222217</v>
      </c>
      <c r="K45" s="80">
        <f t="shared" si="18"/>
        <v>2262.2222222222217</v>
      </c>
      <c r="L45" s="80">
        <f t="shared" si="18"/>
        <v>2262.2222222222217</v>
      </c>
      <c r="M45" s="80">
        <f t="shared" si="18"/>
        <v>2262.2222222222217</v>
      </c>
      <c r="N45" s="80">
        <f t="shared" si="18"/>
        <v>2262.2222222222217</v>
      </c>
      <c r="O45" s="80">
        <f t="shared" si="18"/>
        <v>2262.2222222222217</v>
      </c>
    </row>
    <row r="46" spans="2:15" ht="14.25">
      <c r="B46" s="11" t="s">
        <v>55</v>
      </c>
      <c r="C46" s="80">
        <f>+RH!L44</f>
        <v>95.74666666666666</v>
      </c>
      <c r="D46" s="80">
        <f t="shared" si="18"/>
        <v>95.74666666666666</v>
      </c>
      <c r="E46" s="80">
        <f t="shared" si="18"/>
        <v>95.74666666666666</v>
      </c>
      <c r="F46" s="80">
        <f t="shared" si="18"/>
        <v>95.74666666666666</v>
      </c>
      <c r="G46" s="80">
        <f t="shared" si="18"/>
        <v>95.74666666666666</v>
      </c>
      <c r="H46" s="80">
        <f t="shared" si="18"/>
        <v>95.74666666666666</v>
      </c>
      <c r="I46" s="80">
        <f t="shared" si="18"/>
        <v>95.74666666666666</v>
      </c>
      <c r="J46" s="80">
        <f t="shared" si="18"/>
        <v>95.74666666666666</v>
      </c>
      <c r="K46" s="80">
        <f t="shared" si="18"/>
        <v>95.74666666666666</v>
      </c>
      <c r="L46" s="80">
        <f t="shared" si="18"/>
        <v>95.74666666666666</v>
      </c>
      <c r="M46" s="80">
        <f t="shared" si="18"/>
        <v>95.74666666666666</v>
      </c>
      <c r="N46" s="80">
        <f t="shared" si="18"/>
        <v>95.74666666666666</v>
      </c>
      <c r="O46" s="80">
        <f t="shared" si="18"/>
        <v>95.74666666666666</v>
      </c>
    </row>
    <row r="47" spans="2:15" ht="14.25">
      <c r="B47" s="11" t="s">
        <v>56</v>
      </c>
      <c r="C47" s="80">
        <f>+RH!M44</f>
        <v>139.37777777777777</v>
      </c>
      <c r="D47" s="80">
        <f t="shared" si="18"/>
        <v>139.37777777777777</v>
      </c>
      <c r="E47" s="80">
        <f t="shared" si="18"/>
        <v>139.37777777777777</v>
      </c>
      <c r="F47" s="80">
        <f t="shared" si="18"/>
        <v>139.37777777777777</v>
      </c>
      <c r="G47" s="80">
        <f t="shared" si="18"/>
        <v>139.37777777777777</v>
      </c>
      <c r="H47" s="80">
        <f t="shared" si="18"/>
        <v>139.37777777777777</v>
      </c>
      <c r="I47" s="80">
        <f t="shared" si="18"/>
        <v>139.37777777777777</v>
      </c>
      <c r="J47" s="80">
        <f t="shared" si="18"/>
        <v>139.37777777777777</v>
      </c>
      <c r="K47" s="80">
        <f t="shared" si="18"/>
        <v>139.37777777777777</v>
      </c>
      <c r="L47" s="80">
        <f t="shared" si="18"/>
        <v>139.37777777777777</v>
      </c>
      <c r="M47" s="80">
        <f t="shared" si="18"/>
        <v>139.37777777777777</v>
      </c>
      <c r="N47" s="80">
        <f t="shared" si="18"/>
        <v>139.37777777777777</v>
      </c>
      <c r="O47" s="80">
        <f t="shared" si="18"/>
        <v>139.37777777777777</v>
      </c>
    </row>
    <row r="48" spans="2:15" ht="14.25">
      <c r="B48" s="11" t="s">
        <v>57</v>
      </c>
      <c r="C48" s="80">
        <f>+RH!N44</f>
        <v>1696.666666666666</v>
      </c>
      <c r="D48" s="80">
        <f t="shared" si="18"/>
        <v>1696.666666666666</v>
      </c>
      <c r="E48" s="80">
        <f t="shared" si="18"/>
        <v>1696.666666666666</v>
      </c>
      <c r="F48" s="80">
        <f t="shared" si="18"/>
        <v>1696.666666666666</v>
      </c>
      <c r="G48" s="80">
        <f t="shared" si="18"/>
        <v>1696.666666666666</v>
      </c>
      <c r="H48" s="80">
        <f t="shared" si="18"/>
        <v>1696.666666666666</v>
      </c>
      <c r="I48" s="80">
        <f t="shared" si="18"/>
        <v>1696.666666666666</v>
      </c>
      <c r="J48" s="80">
        <f t="shared" si="18"/>
        <v>1696.666666666666</v>
      </c>
      <c r="K48" s="80">
        <f t="shared" si="18"/>
        <v>1696.666666666666</v>
      </c>
      <c r="L48" s="80">
        <f t="shared" si="18"/>
        <v>1696.666666666666</v>
      </c>
      <c r="M48" s="80">
        <f t="shared" si="18"/>
        <v>1696.666666666666</v>
      </c>
      <c r="N48" s="80">
        <f t="shared" si="18"/>
        <v>1696.666666666666</v>
      </c>
      <c r="O48" s="80">
        <f t="shared" si="18"/>
        <v>1696.666666666666</v>
      </c>
    </row>
    <row r="49" spans="2:15" ht="14.25">
      <c r="B49" s="11" t="s">
        <v>58</v>
      </c>
      <c r="C49" s="80">
        <f>+RH!O44</f>
        <v>95.39750000000001</v>
      </c>
      <c r="D49" s="80">
        <f t="shared" si="18"/>
        <v>95.39750000000001</v>
      </c>
      <c r="E49" s="80">
        <f t="shared" si="18"/>
        <v>95.39750000000001</v>
      </c>
      <c r="F49" s="80">
        <f t="shared" si="18"/>
        <v>95.39750000000001</v>
      </c>
      <c r="G49" s="80">
        <f t="shared" si="18"/>
        <v>95.39750000000001</v>
      </c>
      <c r="H49" s="80">
        <f t="shared" si="18"/>
        <v>95.39750000000001</v>
      </c>
      <c r="I49" s="80">
        <f t="shared" si="18"/>
        <v>95.39750000000001</v>
      </c>
      <c r="J49" s="80">
        <f t="shared" si="18"/>
        <v>95.39750000000001</v>
      </c>
      <c r="K49" s="80">
        <f t="shared" si="18"/>
        <v>95.39750000000001</v>
      </c>
      <c r="L49" s="80">
        <f t="shared" si="18"/>
        <v>95.39750000000001</v>
      </c>
      <c r="M49" s="80">
        <f t="shared" si="18"/>
        <v>95.39750000000001</v>
      </c>
      <c r="N49" s="80">
        <f t="shared" si="18"/>
        <v>95.39750000000001</v>
      </c>
      <c r="O49" s="80">
        <f t="shared" si="18"/>
        <v>95.39750000000001</v>
      </c>
    </row>
    <row r="50" spans="2:15" ht="14.25">
      <c r="B50" s="11" t="s">
        <v>59</v>
      </c>
      <c r="C50" s="80">
        <f>+RH!P44</f>
        <v>135.73333333333335</v>
      </c>
      <c r="D50" s="80">
        <f t="shared" si="18"/>
        <v>135.73333333333335</v>
      </c>
      <c r="E50" s="80">
        <f t="shared" si="18"/>
        <v>135.73333333333335</v>
      </c>
      <c r="F50" s="80">
        <f t="shared" si="18"/>
        <v>135.73333333333335</v>
      </c>
      <c r="G50" s="80">
        <f t="shared" si="18"/>
        <v>135.73333333333335</v>
      </c>
      <c r="H50" s="80">
        <f t="shared" si="18"/>
        <v>135.73333333333335</v>
      </c>
      <c r="I50" s="80">
        <f t="shared" si="18"/>
        <v>135.73333333333335</v>
      </c>
      <c r="J50" s="80">
        <f t="shared" si="18"/>
        <v>135.73333333333335</v>
      </c>
      <c r="K50" s="80">
        <f t="shared" si="18"/>
        <v>135.73333333333335</v>
      </c>
      <c r="L50" s="80">
        <f t="shared" si="18"/>
        <v>135.73333333333335</v>
      </c>
      <c r="M50" s="80">
        <f t="shared" si="18"/>
        <v>135.73333333333335</v>
      </c>
      <c r="N50" s="80">
        <f t="shared" si="18"/>
        <v>135.73333333333335</v>
      </c>
      <c r="O50" s="80">
        <f t="shared" si="18"/>
        <v>135.73333333333335</v>
      </c>
    </row>
    <row r="51" spans="2:15" ht="14.25">
      <c r="B51" s="11" t="s">
        <v>15</v>
      </c>
      <c r="C51" s="80">
        <v>200</v>
      </c>
      <c r="D51" s="80">
        <v>200</v>
      </c>
      <c r="E51" s="80">
        <v>200</v>
      </c>
      <c r="F51" s="80">
        <v>200</v>
      </c>
      <c r="G51" s="80">
        <v>200</v>
      </c>
      <c r="H51" s="80">
        <v>200</v>
      </c>
      <c r="I51" s="80">
        <v>200</v>
      </c>
      <c r="J51" s="80">
        <v>200</v>
      </c>
      <c r="K51" s="80">
        <v>200</v>
      </c>
      <c r="L51" s="80">
        <v>200</v>
      </c>
      <c r="M51" s="80">
        <v>200</v>
      </c>
      <c r="N51" s="80">
        <v>200</v>
      </c>
      <c r="O51" s="78">
        <f aca="true" t="shared" si="19" ref="O51:O62">SUM(C51:N51)</f>
        <v>2400</v>
      </c>
    </row>
    <row r="52" spans="2:15" ht="14.25">
      <c r="B52" s="11" t="s">
        <v>16</v>
      </c>
      <c r="C52" s="80">
        <v>800</v>
      </c>
      <c r="D52" s="80">
        <v>800</v>
      </c>
      <c r="E52" s="80">
        <v>800</v>
      </c>
      <c r="F52" s="80">
        <v>800</v>
      </c>
      <c r="G52" s="80">
        <v>800</v>
      </c>
      <c r="H52" s="80">
        <v>800</v>
      </c>
      <c r="I52" s="80">
        <v>800</v>
      </c>
      <c r="J52" s="80">
        <v>800</v>
      </c>
      <c r="K52" s="80">
        <v>800</v>
      </c>
      <c r="L52" s="80">
        <v>800</v>
      </c>
      <c r="M52" s="80">
        <v>800</v>
      </c>
      <c r="N52" s="80">
        <v>800</v>
      </c>
      <c r="O52" s="78">
        <f t="shared" si="19"/>
        <v>9600</v>
      </c>
    </row>
    <row r="53" spans="2:15" ht="14.25">
      <c r="B53" s="11" t="s">
        <v>17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78">
        <f t="shared" si="19"/>
        <v>0</v>
      </c>
    </row>
    <row r="54" spans="2:15" ht="14.25">
      <c r="B54" s="11" t="s">
        <v>12</v>
      </c>
      <c r="C54" s="80">
        <v>500</v>
      </c>
      <c r="D54" s="80">
        <v>500</v>
      </c>
      <c r="E54" s="80">
        <v>500</v>
      </c>
      <c r="F54" s="80">
        <v>500</v>
      </c>
      <c r="G54" s="80">
        <v>500</v>
      </c>
      <c r="H54" s="80">
        <v>500</v>
      </c>
      <c r="I54" s="80">
        <v>500</v>
      </c>
      <c r="J54" s="80">
        <v>500</v>
      </c>
      <c r="K54" s="80">
        <v>500</v>
      </c>
      <c r="L54" s="80">
        <v>500</v>
      </c>
      <c r="M54" s="80">
        <v>500</v>
      </c>
      <c r="N54" s="80">
        <v>500</v>
      </c>
      <c r="O54" s="78">
        <f t="shared" si="19"/>
        <v>6000</v>
      </c>
    </row>
    <row r="55" spans="2:15" ht="14.25">
      <c r="B55" s="11" t="s">
        <v>13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78">
        <f t="shared" si="19"/>
        <v>0</v>
      </c>
    </row>
    <row r="56" spans="2:15" ht="14.25">
      <c r="B56" s="209" t="s">
        <v>87</v>
      </c>
      <c r="C56" s="210">
        <v>1000</v>
      </c>
      <c r="D56" s="210">
        <f>C56</f>
        <v>1000</v>
      </c>
      <c r="E56" s="210">
        <f aca="true" t="shared" si="20" ref="E56:N56">D56</f>
        <v>1000</v>
      </c>
      <c r="F56" s="210">
        <f t="shared" si="20"/>
        <v>1000</v>
      </c>
      <c r="G56" s="210">
        <f t="shared" si="20"/>
        <v>1000</v>
      </c>
      <c r="H56" s="210">
        <f t="shared" si="20"/>
        <v>1000</v>
      </c>
      <c r="I56" s="210">
        <f t="shared" si="20"/>
        <v>1000</v>
      </c>
      <c r="J56" s="210">
        <f t="shared" si="20"/>
        <v>1000</v>
      </c>
      <c r="K56" s="210">
        <f t="shared" si="20"/>
        <v>1000</v>
      </c>
      <c r="L56" s="210">
        <f t="shared" si="20"/>
        <v>1000</v>
      </c>
      <c r="M56" s="210">
        <f t="shared" si="20"/>
        <v>1000</v>
      </c>
      <c r="N56" s="210">
        <f t="shared" si="20"/>
        <v>1000</v>
      </c>
      <c r="O56" s="211">
        <f t="shared" si="19"/>
        <v>12000</v>
      </c>
    </row>
    <row r="57" spans="2:15" ht="14.25">
      <c r="B57" s="11" t="s">
        <v>18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78">
        <f t="shared" si="19"/>
        <v>0</v>
      </c>
    </row>
    <row r="58" spans="2:15" ht="14.25">
      <c r="B58" s="11" t="s">
        <v>19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78">
        <f t="shared" si="19"/>
        <v>0</v>
      </c>
    </row>
    <row r="59" spans="2:15" s="208" customFormat="1" ht="14.25">
      <c r="B59" s="11" t="s">
        <v>88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78">
        <f t="shared" si="19"/>
        <v>0</v>
      </c>
    </row>
    <row r="60" spans="2:15" ht="14.25">
      <c r="B60" s="11" t="s">
        <v>89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78">
        <f t="shared" si="19"/>
        <v>0</v>
      </c>
    </row>
    <row r="61" spans="2:15" ht="14.25">
      <c r="B61" s="11" t="s">
        <v>28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78">
        <f t="shared" si="19"/>
        <v>0</v>
      </c>
    </row>
    <row r="62" spans="2:15" ht="14.25">
      <c r="B62" s="11" t="s">
        <v>68</v>
      </c>
      <c r="C62" s="80">
        <v>550</v>
      </c>
      <c r="D62" s="80">
        <f>C62</f>
        <v>550</v>
      </c>
      <c r="E62" s="80">
        <f aca="true" t="shared" si="21" ref="E62:N62">D62</f>
        <v>550</v>
      </c>
      <c r="F62" s="80">
        <f t="shared" si="21"/>
        <v>550</v>
      </c>
      <c r="G62" s="80">
        <f t="shared" si="21"/>
        <v>550</v>
      </c>
      <c r="H62" s="80">
        <f t="shared" si="21"/>
        <v>550</v>
      </c>
      <c r="I62" s="80">
        <f t="shared" si="21"/>
        <v>550</v>
      </c>
      <c r="J62" s="80">
        <f t="shared" si="21"/>
        <v>550</v>
      </c>
      <c r="K62" s="80">
        <f t="shared" si="21"/>
        <v>550</v>
      </c>
      <c r="L62" s="80">
        <f t="shared" si="21"/>
        <v>550</v>
      </c>
      <c r="M62" s="80">
        <f t="shared" si="21"/>
        <v>550</v>
      </c>
      <c r="N62" s="80">
        <f t="shared" si="21"/>
        <v>550</v>
      </c>
      <c r="O62" s="78">
        <f t="shared" si="19"/>
        <v>6600</v>
      </c>
    </row>
    <row r="63" spans="2:15" s="207" customFormat="1" ht="14.25">
      <c r="B63" s="215" t="s">
        <v>5</v>
      </c>
      <c r="C63" s="213">
        <f aca="true" t="shared" si="22" ref="C63:O63">SUM(C39:C62)</f>
        <v>34513.16416666667</v>
      </c>
      <c r="D63" s="213">
        <f t="shared" si="22"/>
        <v>34513.16416666667</v>
      </c>
      <c r="E63" s="213">
        <f t="shared" si="22"/>
        <v>34513.16416666667</v>
      </c>
      <c r="F63" s="213">
        <f t="shared" si="22"/>
        <v>34513.16416666667</v>
      </c>
      <c r="G63" s="213">
        <f t="shared" si="22"/>
        <v>34513.16416666667</v>
      </c>
      <c r="H63" s="213">
        <f t="shared" si="22"/>
        <v>34513.16416666667</v>
      </c>
      <c r="I63" s="213">
        <f t="shared" si="22"/>
        <v>34513.16416666667</v>
      </c>
      <c r="J63" s="213">
        <f t="shared" si="22"/>
        <v>34513.16416666667</v>
      </c>
      <c r="K63" s="213">
        <f t="shared" si="22"/>
        <v>34513.16416666667</v>
      </c>
      <c r="L63" s="213">
        <f t="shared" si="22"/>
        <v>34513.16416666667</v>
      </c>
      <c r="M63" s="213">
        <f t="shared" si="22"/>
        <v>34513.16416666667</v>
      </c>
      <c r="N63" s="213">
        <f t="shared" si="22"/>
        <v>34513.16416666667</v>
      </c>
      <c r="O63" s="214">
        <f t="shared" si="22"/>
        <v>68063.16416666667</v>
      </c>
    </row>
    <row r="64" spans="2:15" s="207" customFormat="1" ht="14.25">
      <c r="B64" s="1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78"/>
    </row>
    <row r="65" spans="2:15" s="207" customFormat="1" ht="14.25">
      <c r="B65" s="13" t="s">
        <v>3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78"/>
    </row>
    <row r="66" spans="2:15" ht="14.25">
      <c r="B66" s="67" t="s">
        <v>14</v>
      </c>
      <c r="C66" s="213">
        <v>10000</v>
      </c>
      <c r="D66" s="213">
        <v>10000</v>
      </c>
      <c r="E66" s="213">
        <v>10000</v>
      </c>
      <c r="F66" s="213">
        <v>10000</v>
      </c>
      <c r="G66" s="213">
        <v>10000</v>
      </c>
      <c r="H66" s="213">
        <v>10000</v>
      </c>
      <c r="I66" s="213">
        <v>10000</v>
      </c>
      <c r="J66" s="213">
        <v>10000</v>
      </c>
      <c r="K66" s="213">
        <v>10000</v>
      </c>
      <c r="L66" s="213">
        <v>10000</v>
      </c>
      <c r="M66" s="213">
        <v>10000</v>
      </c>
      <c r="N66" s="213">
        <v>10000</v>
      </c>
      <c r="O66" s="214">
        <f>SUM(C66:N66)</f>
        <v>120000</v>
      </c>
    </row>
    <row r="67" spans="2:15" ht="14.25">
      <c r="B67" s="1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8"/>
    </row>
    <row r="68" spans="2:15" ht="12" customHeight="1">
      <c r="B68" s="13" t="s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78"/>
    </row>
    <row r="69" spans="2:15" ht="14.25">
      <c r="B69" s="1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78">
        <f aca="true" t="shared" si="23" ref="O69:O76">SUM(C69:N69)</f>
        <v>0</v>
      </c>
    </row>
    <row r="70" spans="2:15" ht="14.25">
      <c r="B70" s="1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78">
        <f t="shared" si="23"/>
        <v>0</v>
      </c>
    </row>
    <row r="71" spans="2:15" ht="7.5" customHeight="1">
      <c r="B71" s="1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78">
        <f t="shared" si="23"/>
        <v>0</v>
      </c>
    </row>
    <row r="72" spans="2:15" ht="14.25">
      <c r="B72" s="1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78">
        <f t="shared" si="23"/>
        <v>0</v>
      </c>
    </row>
    <row r="73" spans="2:15" s="207" customFormat="1" ht="14.25">
      <c r="B73" s="1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78">
        <f t="shared" si="23"/>
        <v>0</v>
      </c>
    </row>
    <row r="74" spans="2:15" ht="14.25">
      <c r="B74" s="1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78">
        <f t="shared" si="23"/>
        <v>0</v>
      </c>
    </row>
    <row r="75" spans="2:15" ht="14.25">
      <c r="B75" s="1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78">
        <f t="shared" si="23"/>
        <v>0</v>
      </c>
    </row>
    <row r="76" spans="2:15" ht="14.25">
      <c r="B76" s="215" t="s">
        <v>5</v>
      </c>
      <c r="C76" s="213">
        <f aca="true" t="shared" si="24" ref="C76:N76">SUM(C69:C75)</f>
        <v>0</v>
      </c>
      <c r="D76" s="213">
        <f t="shared" si="24"/>
        <v>0</v>
      </c>
      <c r="E76" s="213">
        <f t="shared" si="24"/>
        <v>0</v>
      </c>
      <c r="F76" s="213">
        <f t="shared" si="24"/>
        <v>0</v>
      </c>
      <c r="G76" s="213">
        <f t="shared" si="24"/>
        <v>0</v>
      </c>
      <c r="H76" s="213">
        <f t="shared" si="24"/>
        <v>0</v>
      </c>
      <c r="I76" s="213">
        <f t="shared" si="24"/>
        <v>0</v>
      </c>
      <c r="J76" s="213">
        <f t="shared" si="24"/>
        <v>0</v>
      </c>
      <c r="K76" s="213">
        <f t="shared" si="24"/>
        <v>0</v>
      </c>
      <c r="L76" s="213">
        <f t="shared" si="24"/>
        <v>0</v>
      </c>
      <c r="M76" s="213">
        <f t="shared" si="24"/>
        <v>0</v>
      </c>
      <c r="N76" s="213">
        <f t="shared" si="24"/>
        <v>0</v>
      </c>
      <c r="O76" s="214">
        <f t="shared" si="23"/>
        <v>0</v>
      </c>
    </row>
    <row r="77" spans="2:15" s="207" customFormat="1" ht="14.25">
      <c r="B77" s="1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8"/>
    </row>
    <row r="78" spans="2:15" ht="14.25">
      <c r="B78" s="13" t="s">
        <v>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78"/>
    </row>
    <row r="79" spans="2:15" ht="14.25">
      <c r="B79" s="67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4">
        <f>SUM(C79:N79)</f>
        <v>0</v>
      </c>
    </row>
    <row r="80" spans="2:15" ht="14.25">
      <c r="B80" s="11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8"/>
    </row>
    <row r="81" spans="2:15" ht="11.25" customHeight="1">
      <c r="B81" s="13" t="s">
        <v>8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8"/>
    </row>
    <row r="82" spans="2:15" ht="14.25">
      <c r="B82" s="67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4">
        <f>SUM(C82:N82)</f>
        <v>0</v>
      </c>
    </row>
    <row r="83" spans="2:15" ht="14.25">
      <c r="B83" s="11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>
        <v>7029.91</v>
      </c>
    </row>
    <row r="84" spans="2:15" ht="7.5" customHeight="1">
      <c r="B84" s="1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301"/>
    </row>
    <row r="85" spans="2:15" ht="14.25">
      <c r="B85" s="215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4"/>
    </row>
    <row r="86" spans="2:15" ht="14.25">
      <c r="B86" s="1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8"/>
    </row>
    <row r="87" spans="2:15" ht="14.25">
      <c r="B87" s="215" t="s">
        <v>26</v>
      </c>
      <c r="C87" s="213">
        <f aca="true" t="shared" si="25" ref="C87:N87">C21+C26+C36+C63+C66+C76+C79+C82+C85</f>
        <v>65009.394166666665</v>
      </c>
      <c r="D87" s="213">
        <f t="shared" si="25"/>
        <v>65009.394166666665</v>
      </c>
      <c r="E87" s="213">
        <f t="shared" si="25"/>
        <v>65009.394166666665</v>
      </c>
      <c r="F87" s="213">
        <f t="shared" si="25"/>
        <v>65009.394166666665</v>
      </c>
      <c r="G87" s="213">
        <f t="shared" si="25"/>
        <v>65009.394166666665</v>
      </c>
      <c r="H87" s="213">
        <f t="shared" si="25"/>
        <v>65009.394166666665</v>
      </c>
      <c r="I87" s="213">
        <f t="shared" si="25"/>
        <v>65009.394166666665</v>
      </c>
      <c r="J87" s="213">
        <f t="shared" si="25"/>
        <v>65009.394166666665</v>
      </c>
      <c r="K87" s="213">
        <f t="shared" si="25"/>
        <v>65009.394166666665</v>
      </c>
      <c r="L87" s="213">
        <f t="shared" si="25"/>
        <v>65009.394166666665</v>
      </c>
      <c r="M87" s="213">
        <f t="shared" si="25"/>
        <v>65009.394166666665</v>
      </c>
      <c r="N87" s="213">
        <f t="shared" si="25"/>
        <v>65009.394166666665</v>
      </c>
      <c r="O87" s="214">
        <f>SUM(C87:N87)</f>
        <v>780112.73</v>
      </c>
    </row>
    <row r="88" spans="2:15" ht="14.25">
      <c r="B88" s="215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4"/>
    </row>
    <row r="89" spans="2:15" ht="14.25">
      <c r="B89" s="215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4"/>
    </row>
    <row r="90" spans="2:15" ht="9" customHeight="1" thickBot="1">
      <c r="B90" s="14"/>
      <c r="C90" s="302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4"/>
    </row>
    <row r="91" ht="15" thickTop="1"/>
    <row r="94" ht="4.5" customHeight="1"/>
  </sheetData>
  <printOptions/>
  <pageMargins left="0.17" right="0.17" top="0.22" bottom="0.2" header="0.19" footer="0.17"/>
  <pageSetup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1" sqref="F21"/>
    </sheetView>
  </sheetViews>
  <sheetFormatPr defaultColWidth="9.140625" defaultRowHeight="12.75"/>
  <cols>
    <col min="1" max="1" width="19.00390625" style="321" bestFit="1" customWidth="1"/>
    <col min="2" max="2" width="8.00390625" style="321" bestFit="1" customWidth="1"/>
    <col min="3" max="3" width="8.00390625" style="321" customWidth="1"/>
    <col min="4" max="4" width="11.140625" style="321" bestFit="1" customWidth="1"/>
    <col min="5" max="16384" width="9.140625" style="321" customWidth="1"/>
  </cols>
  <sheetData>
    <row r="1" spans="2:8" ht="11.25">
      <c r="B1" s="321" t="s">
        <v>146</v>
      </c>
      <c r="C1" s="321" t="s">
        <v>146</v>
      </c>
      <c r="D1" s="321" t="s">
        <v>175</v>
      </c>
      <c r="E1" s="321" t="s">
        <v>177</v>
      </c>
      <c r="F1" s="321" t="s">
        <v>147</v>
      </c>
      <c r="G1" s="321" t="s">
        <v>179</v>
      </c>
      <c r="H1" s="321" t="s">
        <v>180</v>
      </c>
    </row>
    <row r="2" spans="2:8" ht="11.25">
      <c r="B2" s="321" t="s">
        <v>176</v>
      </c>
      <c r="C2" s="321" t="s">
        <v>178</v>
      </c>
      <c r="D2" s="322">
        <f>Previsão!C25</f>
        <v>2000</v>
      </c>
      <c r="E2" s="322">
        <f>Previsão!C31</f>
        <v>3000</v>
      </c>
      <c r="F2" s="322">
        <f>Previsão!C26</f>
        <v>2296.6666666666665</v>
      </c>
      <c r="G2" s="322">
        <f>SUM(Previsão!C45:C56)</f>
        <v>31463.164166666666</v>
      </c>
      <c r="H2" s="322">
        <f>SUM(Previsão!C57:C68)</f>
        <v>16268.333333333334</v>
      </c>
    </row>
    <row r="3" spans="1:8" ht="11.25">
      <c r="A3" s="21" t="s">
        <v>31</v>
      </c>
      <c r="B3" s="320">
        <v>0.05</v>
      </c>
      <c r="C3" s="320">
        <v>0.03</v>
      </c>
      <c r="D3" s="324">
        <f>($D$2*B3)/22/8</f>
        <v>0.5681818181818182</v>
      </c>
      <c r="E3" s="324">
        <f>(B3*$E$2)/22/8</f>
        <v>0.8522727272727273</v>
      </c>
      <c r="F3" s="324">
        <f>(B3*$F$2)/22/8</f>
        <v>0.6524621212121212</v>
      </c>
      <c r="G3" s="324">
        <f>(C3*$G$2)/22/8</f>
        <v>5.3630393465909085</v>
      </c>
      <c r="H3" s="324">
        <f>(C3*$H$2)/22/8</f>
        <v>2.7730113636363636</v>
      </c>
    </row>
    <row r="4" spans="1:8" ht="11.25">
      <c r="A4" s="21" t="s">
        <v>32</v>
      </c>
      <c r="B4" s="320">
        <v>0.05</v>
      </c>
      <c r="C4" s="320">
        <v>0.04</v>
      </c>
      <c r="D4" s="324">
        <f aca="true" t="shared" si="0" ref="D4:D11">($D$2*B4)/22/8</f>
        <v>0.5681818181818182</v>
      </c>
      <c r="E4" s="324">
        <f aca="true" t="shared" si="1" ref="E4:E11">(B4*$E$2)/22/8</f>
        <v>0.8522727272727273</v>
      </c>
      <c r="F4" s="324">
        <f aca="true" t="shared" si="2" ref="F4:F11">(B4*$F$2)/22/8</f>
        <v>0.6524621212121212</v>
      </c>
      <c r="G4" s="324">
        <f aca="true" t="shared" si="3" ref="G4:G11">(C4*$G$2)/22/8</f>
        <v>7.150719128787879</v>
      </c>
      <c r="H4" s="324">
        <f aca="true" t="shared" si="4" ref="H4:H11">(C4*$H$2)/22/8</f>
        <v>3.6973484848484848</v>
      </c>
    </row>
    <row r="5" spans="1:8" ht="11.25">
      <c r="A5" s="21" t="s">
        <v>174</v>
      </c>
      <c r="B5" s="320">
        <v>0.26</v>
      </c>
      <c r="C5" s="320">
        <v>0.31</v>
      </c>
      <c r="D5" s="324">
        <f t="shared" si="0"/>
        <v>2.9545454545454546</v>
      </c>
      <c r="E5" s="324">
        <f t="shared" si="1"/>
        <v>4.431818181818182</v>
      </c>
      <c r="F5" s="324">
        <f t="shared" si="2"/>
        <v>3.39280303030303</v>
      </c>
      <c r="G5" s="324">
        <f t="shared" si="3"/>
        <v>55.41807324810606</v>
      </c>
      <c r="H5" s="324">
        <f t="shared" si="4"/>
        <v>28.65445075757576</v>
      </c>
    </row>
    <row r="6" spans="1:8" ht="11.25">
      <c r="A6" s="21" t="s">
        <v>33</v>
      </c>
      <c r="B6" s="320">
        <v>0.39</v>
      </c>
      <c r="C6" s="320">
        <v>0.14</v>
      </c>
      <c r="D6" s="324">
        <f t="shared" si="0"/>
        <v>4.431818181818182</v>
      </c>
      <c r="E6" s="324">
        <f t="shared" si="1"/>
        <v>6.6477272727272725</v>
      </c>
      <c r="F6" s="324">
        <f t="shared" si="2"/>
        <v>5.089204545454545</v>
      </c>
      <c r="G6" s="324">
        <f t="shared" si="3"/>
        <v>25.02751695075758</v>
      </c>
      <c r="H6" s="324">
        <f t="shared" si="4"/>
        <v>12.9407196969697</v>
      </c>
    </row>
    <row r="7" spans="1:8" ht="11.25">
      <c r="A7" s="21" t="s">
        <v>34</v>
      </c>
      <c r="B7" s="320">
        <v>0.06</v>
      </c>
      <c r="C7" s="320">
        <v>0.08</v>
      </c>
      <c r="D7" s="324">
        <f t="shared" si="0"/>
        <v>0.6818181818181818</v>
      </c>
      <c r="E7" s="324">
        <f t="shared" si="1"/>
        <v>1.0227272727272727</v>
      </c>
      <c r="F7" s="324">
        <f t="shared" si="2"/>
        <v>0.7829545454545453</v>
      </c>
      <c r="G7" s="324">
        <f t="shared" si="3"/>
        <v>14.301438257575757</v>
      </c>
      <c r="H7" s="324">
        <f t="shared" si="4"/>
        <v>7.3946969696969695</v>
      </c>
    </row>
    <row r="8" spans="1:8" ht="11.25">
      <c r="A8" s="21" t="s">
        <v>35</v>
      </c>
      <c r="B8" s="320">
        <v>0.02</v>
      </c>
      <c r="C8" s="320">
        <v>0.07</v>
      </c>
      <c r="D8" s="324">
        <f t="shared" si="0"/>
        <v>0.22727272727272727</v>
      </c>
      <c r="E8" s="324">
        <f t="shared" si="1"/>
        <v>0.3409090909090909</v>
      </c>
      <c r="F8" s="324">
        <f t="shared" si="2"/>
        <v>0.2609848484848485</v>
      </c>
      <c r="G8" s="324">
        <f t="shared" si="3"/>
        <v>12.51375847537879</v>
      </c>
      <c r="H8" s="324">
        <f t="shared" si="4"/>
        <v>6.47035984848485</v>
      </c>
    </row>
    <row r="9" spans="1:8" ht="11.25">
      <c r="A9" s="21" t="s">
        <v>36</v>
      </c>
      <c r="B9" s="320">
        <v>0.07</v>
      </c>
      <c r="C9" s="320">
        <v>0.22</v>
      </c>
      <c r="D9" s="324">
        <f t="shared" si="0"/>
        <v>0.7954545454545454</v>
      </c>
      <c r="E9" s="324">
        <f t="shared" si="1"/>
        <v>1.1931818181818183</v>
      </c>
      <c r="F9" s="324">
        <f t="shared" si="2"/>
        <v>0.9134469696969698</v>
      </c>
      <c r="G9" s="324">
        <f t="shared" si="3"/>
        <v>39.32895520833333</v>
      </c>
      <c r="H9" s="324">
        <f t="shared" si="4"/>
        <v>20.335416666666667</v>
      </c>
    </row>
    <row r="10" spans="1:8" ht="11.25">
      <c r="A10" s="21" t="s">
        <v>37</v>
      </c>
      <c r="B10" s="320">
        <v>0.07</v>
      </c>
      <c r="C10" s="320">
        <v>0.06</v>
      </c>
      <c r="D10" s="324">
        <f t="shared" si="0"/>
        <v>0.7954545454545454</v>
      </c>
      <c r="E10" s="324">
        <f t="shared" si="1"/>
        <v>1.1931818181818183</v>
      </c>
      <c r="F10" s="324">
        <f t="shared" si="2"/>
        <v>0.9134469696969698</v>
      </c>
      <c r="G10" s="324">
        <f t="shared" si="3"/>
        <v>10.726078693181817</v>
      </c>
      <c r="H10" s="324">
        <f t="shared" si="4"/>
        <v>5.546022727272727</v>
      </c>
    </row>
    <row r="11" spans="1:8" ht="11.25">
      <c r="A11" s="21" t="s">
        <v>82</v>
      </c>
      <c r="B11" s="320">
        <v>0.03</v>
      </c>
      <c r="C11" s="320">
        <v>0.05</v>
      </c>
      <c r="D11" s="324">
        <f t="shared" si="0"/>
        <v>0.3409090909090909</v>
      </c>
      <c r="E11" s="324">
        <f t="shared" si="1"/>
        <v>0.5113636363636364</v>
      </c>
      <c r="F11" s="324">
        <f t="shared" si="2"/>
        <v>0.3914772727272727</v>
      </c>
      <c r="G11" s="324">
        <f t="shared" si="3"/>
        <v>8.938398910984848</v>
      </c>
      <c r="H11" s="324">
        <f t="shared" si="4"/>
        <v>4.621685606060606</v>
      </c>
    </row>
    <row r="12" spans="2:3" ht="11.25">
      <c r="B12" s="323">
        <f>SUM(B3:B11)</f>
        <v>1.0000000000000002</v>
      </c>
      <c r="C12" s="323"/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75" zoomScaleNormal="75" workbookViewId="0" topLeftCell="A1">
      <selection activeCell="C8" sqref="C8"/>
    </sheetView>
  </sheetViews>
  <sheetFormatPr defaultColWidth="9.140625" defaultRowHeight="12.75"/>
  <cols>
    <col min="1" max="1" width="23.7109375" style="222" customWidth="1"/>
    <col min="2" max="2" width="5.00390625" style="222" customWidth="1"/>
    <col min="3" max="3" width="10.28125" style="223" customWidth="1"/>
    <col min="4" max="4" width="8.57421875" style="223" customWidth="1"/>
    <col min="5" max="5" width="10.28125" style="223" customWidth="1"/>
    <col min="6" max="6" width="8.57421875" style="223" customWidth="1"/>
    <col min="7" max="7" width="10.28125" style="223" customWidth="1"/>
    <col min="8" max="8" width="7.57421875" style="223" customWidth="1"/>
    <col min="9" max="9" width="10.28125" style="223" customWidth="1"/>
    <col min="10" max="10" width="8.00390625" style="223" customWidth="1"/>
    <col min="11" max="11" width="10.28125" style="223" customWidth="1"/>
    <col min="12" max="12" width="8.57421875" style="223" customWidth="1"/>
    <col min="13" max="13" width="10.28125" style="223" customWidth="1"/>
    <col min="14" max="14" width="8.00390625" style="223" customWidth="1"/>
    <col min="15" max="15" width="10.28125" style="223" customWidth="1"/>
    <col min="16" max="16" width="8.28125" style="223" customWidth="1"/>
    <col min="17" max="17" width="10.28125" style="223" customWidth="1"/>
    <col min="18" max="18" width="8.140625" style="223" customWidth="1"/>
    <col min="19" max="19" width="10.28125" style="223" customWidth="1"/>
    <col min="20" max="20" width="10.421875" style="223" customWidth="1"/>
    <col min="21" max="21" width="10.28125" style="223" customWidth="1"/>
    <col min="22" max="22" width="8.28125" style="223" customWidth="1"/>
    <col min="23" max="23" width="10.28125" style="223" customWidth="1"/>
    <col min="24" max="24" width="8.140625" style="223" customWidth="1"/>
    <col min="25" max="25" width="10.28125" style="223" customWidth="1"/>
    <col min="26" max="26" width="8.57421875" style="223" customWidth="1"/>
    <col min="27" max="27" width="12.00390625" style="223" bestFit="1" customWidth="1"/>
    <col min="28" max="28" width="7.7109375" style="223" customWidth="1"/>
    <col min="29" max="16384" width="9.140625" style="222" customWidth="1"/>
  </cols>
  <sheetData>
    <row r="1" ht="8.25" customHeight="1" thickBot="1"/>
    <row r="2" spans="1:28" ht="15.75" thickBot="1">
      <c r="A2" s="442" t="s">
        <v>164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4"/>
    </row>
    <row r="3" spans="1:28" ht="15.75" thickBot="1">
      <c r="A3" s="269"/>
      <c r="B3" s="270"/>
      <c r="C3" s="431" t="s">
        <v>93</v>
      </c>
      <c r="D3" s="432"/>
      <c r="E3" s="431" t="s">
        <v>96</v>
      </c>
      <c r="F3" s="432"/>
      <c r="G3" s="431" t="s">
        <v>97</v>
      </c>
      <c r="H3" s="432"/>
      <c r="I3" s="431" t="s">
        <v>98</v>
      </c>
      <c r="J3" s="432"/>
      <c r="K3" s="431" t="s">
        <v>99</v>
      </c>
      <c r="L3" s="432"/>
      <c r="M3" s="431" t="s">
        <v>100</v>
      </c>
      <c r="N3" s="432"/>
      <c r="O3" s="431" t="s">
        <v>101</v>
      </c>
      <c r="P3" s="432"/>
      <c r="Q3" s="431" t="s">
        <v>102</v>
      </c>
      <c r="R3" s="432"/>
      <c r="S3" s="431" t="s">
        <v>103</v>
      </c>
      <c r="T3" s="432"/>
      <c r="U3" s="431" t="s">
        <v>104</v>
      </c>
      <c r="V3" s="432"/>
      <c r="W3" s="431" t="s">
        <v>105</v>
      </c>
      <c r="X3" s="432"/>
      <c r="Y3" s="431" t="s">
        <v>106</v>
      </c>
      <c r="Z3" s="432"/>
      <c r="AA3" s="433" t="s">
        <v>5</v>
      </c>
      <c r="AB3" s="434"/>
    </row>
    <row r="4" spans="1:28" ht="15.75" thickBot="1">
      <c r="A4" s="221" t="s">
        <v>25</v>
      </c>
      <c r="B4" s="258"/>
      <c r="C4" s="85" t="s">
        <v>95</v>
      </c>
      <c r="D4" s="85" t="s">
        <v>94</v>
      </c>
      <c r="E4" s="85" t="s">
        <v>95</v>
      </c>
      <c r="F4" s="85" t="s">
        <v>94</v>
      </c>
      <c r="G4" s="85" t="s">
        <v>95</v>
      </c>
      <c r="H4" s="85" t="s">
        <v>94</v>
      </c>
      <c r="I4" s="85" t="s">
        <v>95</v>
      </c>
      <c r="J4" s="85" t="s">
        <v>94</v>
      </c>
      <c r="K4" s="85" t="s">
        <v>95</v>
      </c>
      <c r="L4" s="85" t="s">
        <v>94</v>
      </c>
      <c r="M4" s="85" t="s">
        <v>95</v>
      </c>
      <c r="N4" s="85" t="s">
        <v>94</v>
      </c>
      <c r="O4" s="85" t="s">
        <v>95</v>
      </c>
      <c r="P4" s="85" t="s">
        <v>94</v>
      </c>
      <c r="Q4" s="85" t="s">
        <v>95</v>
      </c>
      <c r="R4" s="85" t="s">
        <v>94</v>
      </c>
      <c r="S4" s="85" t="s">
        <v>95</v>
      </c>
      <c r="T4" s="85" t="s">
        <v>94</v>
      </c>
      <c r="U4" s="85" t="s">
        <v>95</v>
      </c>
      <c r="V4" s="85" t="s">
        <v>94</v>
      </c>
      <c r="W4" s="85" t="s">
        <v>95</v>
      </c>
      <c r="X4" s="85" t="s">
        <v>94</v>
      </c>
      <c r="Y4" s="85" t="s">
        <v>95</v>
      </c>
      <c r="Z4" s="85" t="s">
        <v>94</v>
      </c>
      <c r="AA4" s="85" t="s">
        <v>95</v>
      </c>
      <c r="AB4" s="85" t="s">
        <v>94</v>
      </c>
    </row>
    <row r="5" spans="1:28" ht="6" customHeight="1">
      <c r="A5" s="248"/>
      <c r="B5" s="25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249"/>
      <c r="Y5" s="251"/>
      <c r="Z5" s="249"/>
      <c r="AA5" s="251"/>
      <c r="AB5" s="252"/>
    </row>
    <row r="6" spans="1:28" ht="15.75" thickBot="1">
      <c r="A6" s="253" t="s">
        <v>107</v>
      </c>
      <c r="B6" s="260"/>
      <c r="C6" s="254">
        <v>200000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5"/>
      <c r="X6" s="254"/>
      <c r="Y6" s="256"/>
      <c r="Z6" s="254"/>
      <c r="AA6" s="254"/>
      <c r="AB6" s="257">
        <f>+Z6+X6+V6+T6+R6+P6+N6+L6+J6+H6+F6+D6</f>
        <v>0</v>
      </c>
    </row>
    <row r="7" spans="1:28" ht="6.75" customHeight="1">
      <c r="A7" s="66"/>
      <c r="B7" s="261"/>
      <c r="C7" s="73"/>
      <c r="D7" s="227"/>
      <c r="E7" s="73"/>
      <c r="F7" s="227"/>
      <c r="G7" s="73"/>
      <c r="H7" s="227"/>
      <c r="I7" s="73"/>
      <c r="J7" s="227"/>
      <c r="K7" s="73"/>
      <c r="L7" s="227"/>
      <c r="M7" s="73"/>
      <c r="N7" s="227"/>
      <c r="O7" s="73"/>
      <c r="P7" s="227"/>
      <c r="Q7" s="73"/>
      <c r="R7" s="227"/>
      <c r="S7" s="73"/>
      <c r="T7" s="227"/>
      <c r="U7" s="73"/>
      <c r="V7" s="227"/>
      <c r="W7" s="232"/>
      <c r="X7" s="227"/>
      <c r="Y7" s="238"/>
      <c r="Z7" s="227"/>
      <c r="AA7" s="73"/>
      <c r="AB7" s="227"/>
    </row>
    <row r="8" spans="1:28" ht="15">
      <c r="A8" s="66" t="s">
        <v>108</v>
      </c>
      <c r="B8" s="261"/>
      <c r="C8" s="73">
        <f>(C10+C32)/(0.7835)*1.05</f>
        <v>251836.43487201308</v>
      </c>
      <c r="D8" s="227"/>
      <c r="E8" s="73">
        <f>(E10+E32)/(0.7835)*1.05</f>
        <v>34435.88179819898</v>
      </c>
      <c r="F8" s="227"/>
      <c r="G8" s="73">
        <f>(G10+G32)/(0.7835)*1.05</f>
        <v>34435.88179819898</v>
      </c>
      <c r="H8" s="227"/>
      <c r="I8" s="73">
        <f>(I10+I32)/(0.7835)*1.05</f>
        <v>34435.88179819898</v>
      </c>
      <c r="J8" s="227"/>
      <c r="K8" s="73">
        <f>(K10+K32)/(0.7835)*1.05</f>
        <v>34435.88179819898</v>
      </c>
      <c r="L8" s="227"/>
      <c r="M8" s="73">
        <f>(M10+M32)/(0.7835)*1.05</f>
        <v>34435.88179819898</v>
      </c>
      <c r="N8" s="227"/>
      <c r="O8" s="73">
        <f>(O10+O32)/(0.7835)*1.05</f>
        <v>34435.88179819898</v>
      </c>
      <c r="P8" s="227"/>
      <c r="Q8" s="73">
        <f>(Q10+Q32)/(0.7835)*1.05</f>
        <v>34435.88179819898</v>
      </c>
      <c r="R8" s="227"/>
      <c r="S8" s="73">
        <f>(S10+S32)/(0.7835)*1.05</f>
        <v>34435.88179819898</v>
      </c>
      <c r="T8" s="227"/>
      <c r="U8" s="73">
        <f>(U10+U32)/(0.7835)*1.05</f>
        <v>34435.88179819898</v>
      </c>
      <c r="V8" s="227"/>
      <c r="W8" s="73">
        <f>(W10+W32)/(0.7835)*1.05</f>
        <v>34435.88179819898</v>
      </c>
      <c r="X8" s="227"/>
      <c r="Y8" s="73">
        <f>(Y10+Y32)/(0.7835)*1.05</f>
        <v>36157.67588810891</v>
      </c>
      <c r="Z8" s="227"/>
      <c r="AA8" s="73">
        <f>+Y8+W8+U8+S8+Q8+O8+M8+K8+I8+G8+E8+C8</f>
        <v>632352.9287421118</v>
      </c>
      <c r="AB8" s="227"/>
    </row>
    <row r="9" spans="1:28" ht="15">
      <c r="A9" s="66"/>
      <c r="B9" s="261"/>
      <c r="C9" s="73"/>
      <c r="D9" s="227"/>
      <c r="E9" s="73"/>
      <c r="F9" s="227"/>
      <c r="G9" s="73"/>
      <c r="H9" s="227"/>
      <c r="I9" s="73"/>
      <c r="J9" s="227"/>
      <c r="K9" s="73"/>
      <c r="L9" s="227"/>
      <c r="M9" s="73"/>
      <c r="N9" s="227"/>
      <c r="O9" s="73"/>
      <c r="P9" s="227"/>
      <c r="Q9" s="73"/>
      <c r="R9" s="227"/>
      <c r="S9" s="73"/>
      <c r="T9" s="227"/>
      <c r="U9" s="73"/>
      <c r="V9" s="227"/>
      <c r="W9" s="73"/>
      <c r="X9" s="227"/>
      <c r="Y9" s="73"/>
      <c r="Z9" s="227"/>
      <c r="AA9" s="73"/>
      <c r="AB9" s="227"/>
    </row>
    <row r="10" spans="1:28" ht="15">
      <c r="A10" s="66" t="s">
        <v>109</v>
      </c>
      <c r="B10" s="271">
        <v>0.55</v>
      </c>
      <c r="C10" s="73">
        <f>(((C32+C27)/(1-$B$10)-(C32+C27)))</f>
        <v>114917.94925925927</v>
      </c>
      <c r="D10" s="227"/>
      <c r="E10" s="73">
        <f>(((E32+E27)/(1-$B$10)-(E32+E27)))</f>
        <v>25695.727037037042</v>
      </c>
      <c r="F10" s="227"/>
      <c r="G10" s="73">
        <f>(((G32+G27)/(1-$B$10)-(G32+G27)))</f>
        <v>25695.727037037042</v>
      </c>
      <c r="H10" s="227"/>
      <c r="I10" s="73">
        <f>(((I32+I27)/(1-$B$10)-(I32+I27)))</f>
        <v>25695.727037037042</v>
      </c>
      <c r="J10" s="227"/>
      <c r="K10" s="73">
        <f>(((K32+K27)/(1-$B$10)-(K32+K27)))</f>
        <v>25695.727037037042</v>
      </c>
      <c r="L10" s="227"/>
      <c r="M10" s="73">
        <f>(((M32+M27)/(1-$B$10)-(M32+M27)))</f>
        <v>25695.727037037042</v>
      </c>
      <c r="N10" s="227"/>
      <c r="O10" s="73">
        <f>(((O32+O27)/(1-$B$10)-(O32+O27)))</f>
        <v>25695.727037037042</v>
      </c>
      <c r="P10" s="227"/>
      <c r="Q10" s="73">
        <f>(((Q32+Q27)/(1-$B$10)-(Q32+Q27)))</f>
        <v>25695.727037037042</v>
      </c>
      <c r="R10" s="227"/>
      <c r="S10" s="73">
        <f>(((S32+S27)/(1-$B$10)-(S32+S27)))</f>
        <v>25695.727037037042</v>
      </c>
      <c r="T10" s="227"/>
      <c r="U10" s="73">
        <f>(((U32+U27)/(1-$B$10)-(U32+U27)))</f>
        <v>25695.727037037042</v>
      </c>
      <c r="V10" s="227"/>
      <c r="W10" s="73">
        <f>(((W32+W27)/(1-$B$10)-(W32+W27)))</f>
        <v>25695.727037037042</v>
      </c>
      <c r="X10" s="227"/>
      <c r="Y10" s="73">
        <f>(((Y32+Y27)/(1-$B$10)-(Y32+Y27)))</f>
        <v>26980.51338888889</v>
      </c>
      <c r="Z10" s="227"/>
      <c r="AA10" s="73">
        <f>+Y10+W10+U10+S10+Q10+O10+M10+K10+I10+G10+E10+C10</f>
        <v>398855.7330185186</v>
      </c>
      <c r="AB10" s="227"/>
    </row>
    <row r="11" spans="1:28" ht="9" customHeight="1">
      <c r="A11" s="68"/>
      <c r="B11" s="262"/>
      <c r="C11" s="76"/>
      <c r="D11" s="228"/>
      <c r="E11" s="76"/>
      <c r="F11" s="228"/>
      <c r="G11" s="76"/>
      <c r="H11" s="228"/>
      <c r="I11" s="76"/>
      <c r="J11" s="228"/>
      <c r="K11" s="76"/>
      <c r="L11" s="228"/>
      <c r="M11" s="76"/>
      <c r="N11" s="228"/>
      <c r="O11" s="76"/>
      <c r="P11" s="228"/>
      <c r="Q11" s="76"/>
      <c r="R11" s="228"/>
      <c r="S11" s="76"/>
      <c r="T11" s="228"/>
      <c r="U11" s="76"/>
      <c r="V11" s="228"/>
      <c r="W11" s="216"/>
      <c r="X11" s="228"/>
      <c r="Y11" s="237"/>
      <c r="Z11" s="228"/>
      <c r="AA11" s="73"/>
      <c r="AB11" s="227"/>
    </row>
    <row r="12" spans="1:28" ht="15">
      <c r="A12" s="12" t="s">
        <v>6</v>
      </c>
      <c r="B12" s="263"/>
      <c r="C12" s="79"/>
      <c r="D12" s="229"/>
      <c r="E12" s="79"/>
      <c r="F12" s="229"/>
      <c r="G12" s="79"/>
      <c r="H12" s="229"/>
      <c r="I12" s="79"/>
      <c r="J12" s="229"/>
      <c r="K12" s="79"/>
      <c r="L12" s="229"/>
      <c r="M12" s="79"/>
      <c r="N12" s="229"/>
      <c r="O12" s="79"/>
      <c r="P12" s="229"/>
      <c r="Q12" s="79"/>
      <c r="R12" s="229"/>
      <c r="S12" s="79"/>
      <c r="T12" s="229"/>
      <c r="U12" s="79"/>
      <c r="V12" s="229"/>
      <c r="W12" s="233"/>
      <c r="X12" s="229"/>
      <c r="Y12" s="236"/>
      <c r="Z12" s="229"/>
      <c r="AA12" s="73"/>
      <c r="AB12" s="227"/>
    </row>
    <row r="13" spans="1:28" ht="15">
      <c r="A13" s="11" t="s">
        <v>21</v>
      </c>
      <c r="B13" s="264"/>
      <c r="C13" s="79">
        <f>+RH!E24</f>
        <v>10430</v>
      </c>
      <c r="D13" s="229"/>
      <c r="E13" s="79">
        <f>+C13</f>
        <v>10430</v>
      </c>
      <c r="F13" s="229"/>
      <c r="G13" s="79">
        <f>+E13</f>
        <v>10430</v>
      </c>
      <c r="H13" s="229"/>
      <c r="I13" s="79">
        <f>+G13</f>
        <v>10430</v>
      </c>
      <c r="J13" s="229"/>
      <c r="K13" s="79">
        <f>+I13</f>
        <v>10430</v>
      </c>
      <c r="L13" s="229"/>
      <c r="M13" s="79">
        <f>+K13</f>
        <v>10430</v>
      </c>
      <c r="N13" s="229"/>
      <c r="O13" s="79">
        <f>+M13</f>
        <v>10430</v>
      </c>
      <c r="P13" s="229"/>
      <c r="Q13" s="79">
        <f>+O13</f>
        <v>10430</v>
      </c>
      <c r="R13" s="229"/>
      <c r="S13" s="79">
        <f>+Q13</f>
        <v>10430</v>
      </c>
      <c r="T13" s="229"/>
      <c r="U13" s="79">
        <f>+S13</f>
        <v>10430</v>
      </c>
      <c r="V13" s="229"/>
      <c r="W13" s="233">
        <f>+U13</f>
        <v>10430</v>
      </c>
      <c r="X13" s="229"/>
      <c r="Y13" s="236">
        <f>+W13*1.05</f>
        <v>10951.5</v>
      </c>
      <c r="Z13" s="229"/>
      <c r="AA13" s="73">
        <f aca="true" t="shared" si="0" ref="AA13:AA26">+Y13+W13+U13+S13+Q13+O13+M13+K13+I13+G13+E13+C13</f>
        <v>125681.5</v>
      </c>
      <c r="AB13" s="227">
        <f aca="true" t="shared" si="1" ref="AB13:AB26">+Z13+X13+V13+T13+R13+P13+N13+L13+J13+H13+F13+D13</f>
        <v>0</v>
      </c>
    </row>
    <row r="14" spans="1:28" ht="15">
      <c r="A14" s="11" t="s">
        <v>39</v>
      </c>
      <c r="B14" s="264"/>
      <c r="C14" s="79">
        <f>+RH!F24</f>
        <v>387</v>
      </c>
      <c r="D14" s="229"/>
      <c r="E14" s="79">
        <f aca="true" t="shared" si="2" ref="E14:E26">+C14</f>
        <v>387</v>
      </c>
      <c r="F14" s="229"/>
      <c r="G14" s="79">
        <f aca="true" t="shared" si="3" ref="G14:G26">+E14</f>
        <v>387</v>
      </c>
      <c r="H14" s="229"/>
      <c r="I14" s="79">
        <f aca="true" t="shared" si="4" ref="I14:I26">+G14</f>
        <v>387</v>
      </c>
      <c r="J14" s="229"/>
      <c r="K14" s="79">
        <f aca="true" t="shared" si="5" ref="K14:K26">+I14</f>
        <v>387</v>
      </c>
      <c r="L14" s="229"/>
      <c r="M14" s="79">
        <f aca="true" t="shared" si="6" ref="M14:M26">+K14</f>
        <v>387</v>
      </c>
      <c r="N14" s="229"/>
      <c r="O14" s="79">
        <f aca="true" t="shared" si="7" ref="O14:O26">+M14</f>
        <v>387</v>
      </c>
      <c r="P14" s="229"/>
      <c r="Q14" s="79">
        <f aca="true" t="shared" si="8" ref="Q14:Q26">+O14</f>
        <v>387</v>
      </c>
      <c r="R14" s="229"/>
      <c r="S14" s="79">
        <f aca="true" t="shared" si="9" ref="S14:S26">+Q14</f>
        <v>387</v>
      </c>
      <c r="T14" s="229"/>
      <c r="U14" s="79">
        <f aca="true" t="shared" si="10" ref="U14:U26">+S14</f>
        <v>387</v>
      </c>
      <c r="V14" s="229"/>
      <c r="W14" s="233">
        <f aca="true" t="shared" si="11" ref="W14:W26">+U14</f>
        <v>387</v>
      </c>
      <c r="X14" s="229"/>
      <c r="Y14" s="236">
        <f aca="true" t="shared" si="12" ref="Y14:Y26">+W14*1.05</f>
        <v>406.35</v>
      </c>
      <c r="Z14" s="229"/>
      <c r="AA14" s="73">
        <f t="shared" si="0"/>
        <v>4663.35</v>
      </c>
      <c r="AB14" s="227">
        <f t="shared" si="1"/>
        <v>0</v>
      </c>
    </row>
    <row r="15" spans="1:28" ht="15">
      <c r="A15" s="11" t="s">
        <v>40</v>
      </c>
      <c r="B15" s="264"/>
      <c r="C15" s="79">
        <f>+RH!H24</f>
        <v>665.2800000000001</v>
      </c>
      <c r="D15" s="229"/>
      <c r="E15" s="79">
        <f t="shared" si="2"/>
        <v>665.2800000000001</v>
      </c>
      <c r="F15" s="229"/>
      <c r="G15" s="79">
        <f t="shared" si="3"/>
        <v>665.2800000000001</v>
      </c>
      <c r="H15" s="229"/>
      <c r="I15" s="79">
        <f t="shared" si="4"/>
        <v>665.2800000000001</v>
      </c>
      <c r="J15" s="229"/>
      <c r="K15" s="79">
        <f t="shared" si="5"/>
        <v>665.2800000000001</v>
      </c>
      <c r="L15" s="229"/>
      <c r="M15" s="79">
        <f t="shared" si="6"/>
        <v>665.2800000000001</v>
      </c>
      <c r="N15" s="229"/>
      <c r="O15" s="79">
        <f t="shared" si="7"/>
        <v>665.2800000000001</v>
      </c>
      <c r="P15" s="229"/>
      <c r="Q15" s="79">
        <f t="shared" si="8"/>
        <v>665.2800000000001</v>
      </c>
      <c r="R15" s="229"/>
      <c r="S15" s="79">
        <f t="shared" si="9"/>
        <v>665.2800000000001</v>
      </c>
      <c r="T15" s="229"/>
      <c r="U15" s="79">
        <f t="shared" si="10"/>
        <v>665.2800000000001</v>
      </c>
      <c r="V15" s="229"/>
      <c r="W15" s="233">
        <f t="shared" si="11"/>
        <v>665.2800000000001</v>
      </c>
      <c r="X15" s="229"/>
      <c r="Y15" s="236">
        <f t="shared" si="12"/>
        <v>698.5440000000001</v>
      </c>
      <c r="Z15" s="229"/>
      <c r="AA15" s="73">
        <f t="shared" si="0"/>
        <v>8016.624</v>
      </c>
      <c r="AB15" s="227">
        <f t="shared" si="1"/>
        <v>0</v>
      </c>
    </row>
    <row r="16" spans="1:28" ht="15">
      <c r="A16" s="11" t="s">
        <v>143</v>
      </c>
      <c r="B16" s="264"/>
      <c r="C16" s="79">
        <f>+RH!H24</f>
        <v>665.2800000000001</v>
      </c>
      <c r="D16" s="229"/>
      <c r="E16" s="79">
        <f t="shared" si="2"/>
        <v>665.2800000000001</v>
      </c>
      <c r="F16" s="229"/>
      <c r="G16" s="79">
        <f t="shared" si="3"/>
        <v>665.2800000000001</v>
      </c>
      <c r="H16" s="229"/>
      <c r="I16" s="79">
        <f t="shared" si="4"/>
        <v>665.2800000000001</v>
      </c>
      <c r="J16" s="229"/>
      <c r="K16" s="79">
        <f t="shared" si="5"/>
        <v>665.2800000000001</v>
      </c>
      <c r="L16" s="229"/>
      <c r="M16" s="79">
        <f t="shared" si="6"/>
        <v>665.2800000000001</v>
      </c>
      <c r="N16" s="229"/>
      <c r="O16" s="79">
        <f t="shared" si="7"/>
        <v>665.2800000000001</v>
      </c>
      <c r="P16" s="229"/>
      <c r="Q16" s="79">
        <f t="shared" si="8"/>
        <v>665.2800000000001</v>
      </c>
      <c r="R16" s="229"/>
      <c r="S16" s="79">
        <f t="shared" si="9"/>
        <v>665.2800000000001</v>
      </c>
      <c r="T16" s="229"/>
      <c r="U16" s="79">
        <f t="shared" si="10"/>
        <v>665.2800000000001</v>
      </c>
      <c r="V16" s="229"/>
      <c r="W16" s="233">
        <f t="shared" si="11"/>
        <v>665.2800000000001</v>
      </c>
      <c r="X16" s="229"/>
      <c r="Y16" s="236">
        <f t="shared" si="12"/>
        <v>698.5440000000001</v>
      </c>
      <c r="Z16" s="229"/>
      <c r="AA16" s="73">
        <f t="shared" si="0"/>
        <v>8016.624</v>
      </c>
      <c r="AB16" s="227">
        <f t="shared" si="1"/>
        <v>0</v>
      </c>
    </row>
    <row r="17" spans="1:28" ht="15">
      <c r="A17" s="11" t="s">
        <v>27</v>
      </c>
      <c r="B17" s="264"/>
      <c r="C17" s="79">
        <f>+RH!I24</f>
        <v>466</v>
      </c>
      <c r="D17" s="229"/>
      <c r="E17" s="79">
        <f t="shared" si="2"/>
        <v>466</v>
      </c>
      <c r="F17" s="229"/>
      <c r="G17" s="79">
        <f t="shared" si="3"/>
        <v>466</v>
      </c>
      <c r="H17" s="229"/>
      <c r="I17" s="79">
        <f t="shared" si="4"/>
        <v>466</v>
      </c>
      <c r="J17" s="229"/>
      <c r="K17" s="79">
        <f t="shared" si="5"/>
        <v>466</v>
      </c>
      <c r="L17" s="229"/>
      <c r="M17" s="79">
        <f t="shared" si="6"/>
        <v>466</v>
      </c>
      <c r="N17" s="229"/>
      <c r="O17" s="79">
        <f t="shared" si="7"/>
        <v>466</v>
      </c>
      <c r="P17" s="229"/>
      <c r="Q17" s="79">
        <f t="shared" si="8"/>
        <v>466</v>
      </c>
      <c r="R17" s="229"/>
      <c r="S17" s="79">
        <f t="shared" si="9"/>
        <v>466</v>
      </c>
      <c r="T17" s="229"/>
      <c r="U17" s="79">
        <f t="shared" si="10"/>
        <v>466</v>
      </c>
      <c r="V17" s="229"/>
      <c r="W17" s="233">
        <f t="shared" si="11"/>
        <v>466</v>
      </c>
      <c r="X17" s="229"/>
      <c r="Y17" s="236">
        <f t="shared" si="12"/>
        <v>489.3</v>
      </c>
      <c r="Z17" s="229"/>
      <c r="AA17" s="73">
        <f t="shared" si="0"/>
        <v>5615.3</v>
      </c>
      <c r="AB17" s="227">
        <f t="shared" si="1"/>
        <v>0</v>
      </c>
    </row>
    <row r="18" spans="1:28" ht="15">
      <c r="A18" s="11" t="s">
        <v>23</v>
      </c>
      <c r="B18" s="264"/>
      <c r="C18" s="79">
        <f>+RH!J24</f>
        <v>1848</v>
      </c>
      <c r="D18" s="229"/>
      <c r="E18" s="79">
        <f t="shared" si="2"/>
        <v>1848</v>
      </c>
      <c r="F18" s="229"/>
      <c r="G18" s="79">
        <f t="shared" si="3"/>
        <v>1848</v>
      </c>
      <c r="H18" s="229"/>
      <c r="I18" s="79">
        <f t="shared" si="4"/>
        <v>1848</v>
      </c>
      <c r="J18" s="229"/>
      <c r="K18" s="79">
        <f t="shared" si="5"/>
        <v>1848</v>
      </c>
      <c r="L18" s="229"/>
      <c r="M18" s="79">
        <f t="shared" si="6"/>
        <v>1848</v>
      </c>
      <c r="N18" s="229"/>
      <c r="O18" s="79">
        <f t="shared" si="7"/>
        <v>1848</v>
      </c>
      <c r="P18" s="229"/>
      <c r="Q18" s="79">
        <f t="shared" si="8"/>
        <v>1848</v>
      </c>
      <c r="R18" s="229"/>
      <c r="S18" s="79">
        <f t="shared" si="9"/>
        <v>1848</v>
      </c>
      <c r="T18" s="229"/>
      <c r="U18" s="79">
        <f t="shared" si="10"/>
        <v>1848</v>
      </c>
      <c r="V18" s="229"/>
      <c r="W18" s="233">
        <f t="shared" si="11"/>
        <v>1848</v>
      </c>
      <c r="X18" s="229"/>
      <c r="Y18" s="236">
        <f t="shared" si="12"/>
        <v>1940.4</v>
      </c>
      <c r="Z18" s="229"/>
      <c r="AA18" s="73">
        <f t="shared" si="0"/>
        <v>22268.4</v>
      </c>
      <c r="AB18" s="227">
        <f t="shared" si="1"/>
        <v>0</v>
      </c>
    </row>
    <row r="19" spans="1:28" ht="15">
      <c r="A19" s="11" t="s">
        <v>54</v>
      </c>
      <c r="B19" s="264"/>
      <c r="C19" s="79">
        <f>+RH!K24</f>
        <v>1158.8888888888891</v>
      </c>
      <c r="D19" s="229"/>
      <c r="E19" s="79">
        <f t="shared" si="2"/>
        <v>1158.8888888888891</v>
      </c>
      <c r="F19" s="229"/>
      <c r="G19" s="79">
        <f t="shared" si="3"/>
        <v>1158.8888888888891</v>
      </c>
      <c r="H19" s="229"/>
      <c r="I19" s="79">
        <f t="shared" si="4"/>
        <v>1158.8888888888891</v>
      </c>
      <c r="J19" s="229"/>
      <c r="K19" s="79">
        <f t="shared" si="5"/>
        <v>1158.8888888888891</v>
      </c>
      <c r="L19" s="229"/>
      <c r="M19" s="79">
        <f t="shared" si="6"/>
        <v>1158.8888888888891</v>
      </c>
      <c r="N19" s="229"/>
      <c r="O19" s="79">
        <f t="shared" si="7"/>
        <v>1158.8888888888891</v>
      </c>
      <c r="P19" s="229"/>
      <c r="Q19" s="79">
        <f t="shared" si="8"/>
        <v>1158.8888888888891</v>
      </c>
      <c r="R19" s="229"/>
      <c r="S19" s="79">
        <f t="shared" si="9"/>
        <v>1158.8888888888891</v>
      </c>
      <c r="T19" s="229"/>
      <c r="U19" s="79">
        <f t="shared" si="10"/>
        <v>1158.8888888888891</v>
      </c>
      <c r="V19" s="229"/>
      <c r="W19" s="233">
        <f t="shared" si="11"/>
        <v>1158.8888888888891</v>
      </c>
      <c r="X19" s="229"/>
      <c r="Y19" s="236">
        <f t="shared" si="12"/>
        <v>1216.8333333333337</v>
      </c>
      <c r="Z19" s="229"/>
      <c r="AA19" s="73">
        <f t="shared" si="0"/>
        <v>13964.611111111111</v>
      </c>
      <c r="AB19" s="227">
        <f t="shared" si="1"/>
        <v>0</v>
      </c>
    </row>
    <row r="20" spans="1:28" ht="15">
      <c r="A20" s="11" t="s">
        <v>55</v>
      </c>
      <c r="B20" s="264"/>
      <c r="C20" s="79">
        <f>+RH!L24</f>
        <v>43</v>
      </c>
      <c r="D20" s="229"/>
      <c r="E20" s="79">
        <f t="shared" si="2"/>
        <v>43</v>
      </c>
      <c r="F20" s="229"/>
      <c r="G20" s="79">
        <f t="shared" si="3"/>
        <v>43</v>
      </c>
      <c r="H20" s="229"/>
      <c r="I20" s="79">
        <f t="shared" si="4"/>
        <v>43</v>
      </c>
      <c r="J20" s="229"/>
      <c r="K20" s="79">
        <f t="shared" si="5"/>
        <v>43</v>
      </c>
      <c r="L20" s="229"/>
      <c r="M20" s="79">
        <f t="shared" si="6"/>
        <v>43</v>
      </c>
      <c r="N20" s="229"/>
      <c r="O20" s="79">
        <f t="shared" si="7"/>
        <v>43</v>
      </c>
      <c r="P20" s="229"/>
      <c r="Q20" s="79">
        <f t="shared" si="8"/>
        <v>43</v>
      </c>
      <c r="R20" s="229"/>
      <c r="S20" s="79">
        <f t="shared" si="9"/>
        <v>43</v>
      </c>
      <c r="T20" s="229"/>
      <c r="U20" s="79">
        <f t="shared" si="10"/>
        <v>43</v>
      </c>
      <c r="V20" s="229"/>
      <c r="W20" s="233">
        <f t="shared" si="11"/>
        <v>43</v>
      </c>
      <c r="X20" s="229"/>
      <c r="Y20" s="236">
        <f t="shared" si="12"/>
        <v>45.15</v>
      </c>
      <c r="Z20" s="229"/>
      <c r="AA20" s="73">
        <f t="shared" si="0"/>
        <v>518.15</v>
      </c>
      <c r="AB20" s="227">
        <f t="shared" si="1"/>
        <v>0</v>
      </c>
    </row>
    <row r="21" spans="1:28" ht="15">
      <c r="A21" s="11" t="s">
        <v>56</v>
      </c>
      <c r="B21" s="264"/>
      <c r="C21" s="79">
        <f>+RH!M24</f>
        <v>92.71111111111111</v>
      </c>
      <c r="D21" s="229"/>
      <c r="E21" s="79">
        <f t="shared" si="2"/>
        <v>92.71111111111111</v>
      </c>
      <c r="F21" s="229"/>
      <c r="G21" s="79">
        <f t="shared" si="3"/>
        <v>92.71111111111111</v>
      </c>
      <c r="H21" s="229"/>
      <c r="I21" s="79">
        <f t="shared" si="4"/>
        <v>92.71111111111111</v>
      </c>
      <c r="J21" s="229"/>
      <c r="K21" s="79">
        <f t="shared" si="5"/>
        <v>92.71111111111111</v>
      </c>
      <c r="L21" s="229"/>
      <c r="M21" s="79">
        <f t="shared" si="6"/>
        <v>92.71111111111111</v>
      </c>
      <c r="N21" s="229"/>
      <c r="O21" s="79">
        <f t="shared" si="7"/>
        <v>92.71111111111111</v>
      </c>
      <c r="P21" s="229"/>
      <c r="Q21" s="79">
        <f t="shared" si="8"/>
        <v>92.71111111111111</v>
      </c>
      <c r="R21" s="229"/>
      <c r="S21" s="79">
        <f t="shared" si="9"/>
        <v>92.71111111111111</v>
      </c>
      <c r="T21" s="229"/>
      <c r="U21" s="79">
        <f t="shared" si="10"/>
        <v>92.71111111111111</v>
      </c>
      <c r="V21" s="229"/>
      <c r="W21" s="233">
        <f t="shared" si="11"/>
        <v>92.71111111111111</v>
      </c>
      <c r="X21" s="229"/>
      <c r="Y21" s="236">
        <f t="shared" si="12"/>
        <v>97.34666666666666</v>
      </c>
      <c r="Z21" s="229"/>
      <c r="AA21" s="73">
        <f t="shared" si="0"/>
        <v>1117.168888888889</v>
      </c>
      <c r="AB21" s="227">
        <f t="shared" si="1"/>
        <v>0</v>
      </c>
    </row>
    <row r="22" spans="1:28" ht="15">
      <c r="A22" s="11" t="s">
        <v>57</v>
      </c>
      <c r="B22" s="264"/>
      <c r="C22" s="79">
        <f>+RH!N24</f>
        <v>869.1666666666666</v>
      </c>
      <c r="D22" s="229"/>
      <c r="E22" s="79">
        <f t="shared" si="2"/>
        <v>869.1666666666666</v>
      </c>
      <c r="F22" s="229"/>
      <c r="G22" s="79">
        <f t="shared" si="3"/>
        <v>869.1666666666666</v>
      </c>
      <c r="H22" s="229"/>
      <c r="I22" s="79">
        <f t="shared" si="4"/>
        <v>869.1666666666666</v>
      </c>
      <c r="J22" s="229"/>
      <c r="K22" s="79">
        <f t="shared" si="5"/>
        <v>869.1666666666666</v>
      </c>
      <c r="L22" s="229"/>
      <c r="M22" s="79">
        <f t="shared" si="6"/>
        <v>869.1666666666666</v>
      </c>
      <c r="N22" s="229"/>
      <c r="O22" s="79">
        <f t="shared" si="7"/>
        <v>869.1666666666666</v>
      </c>
      <c r="P22" s="229"/>
      <c r="Q22" s="79">
        <f t="shared" si="8"/>
        <v>869.1666666666666</v>
      </c>
      <c r="R22" s="229"/>
      <c r="S22" s="79">
        <f t="shared" si="9"/>
        <v>869.1666666666666</v>
      </c>
      <c r="T22" s="229"/>
      <c r="U22" s="79">
        <f t="shared" si="10"/>
        <v>869.1666666666666</v>
      </c>
      <c r="V22" s="229"/>
      <c r="W22" s="233">
        <f t="shared" si="11"/>
        <v>869.1666666666666</v>
      </c>
      <c r="X22" s="229"/>
      <c r="Y22" s="236">
        <f t="shared" si="12"/>
        <v>912.625</v>
      </c>
      <c r="Z22" s="229"/>
      <c r="AA22" s="73">
        <f t="shared" si="0"/>
        <v>10473.458333333332</v>
      </c>
      <c r="AB22" s="227">
        <f t="shared" si="1"/>
        <v>0</v>
      </c>
    </row>
    <row r="23" spans="1:28" ht="15">
      <c r="A23" s="11" t="s">
        <v>58</v>
      </c>
      <c r="B23" s="264"/>
      <c r="C23" s="79">
        <f>+RH!O24</f>
        <v>32.25</v>
      </c>
      <c r="D23" s="229"/>
      <c r="E23" s="79">
        <f t="shared" si="2"/>
        <v>32.25</v>
      </c>
      <c r="F23" s="229"/>
      <c r="G23" s="79">
        <f t="shared" si="3"/>
        <v>32.25</v>
      </c>
      <c r="H23" s="229"/>
      <c r="I23" s="79">
        <f t="shared" si="4"/>
        <v>32.25</v>
      </c>
      <c r="J23" s="229"/>
      <c r="K23" s="79">
        <f t="shared" si="5"/>
        <v>32.25</v>
      </c>
      <c r="L23" s="229"/>
      <c r="M23" s="79">
        <f t="shared" si="6"/>
        <v>32.25</v>
      </c>
      <c r="N23" s="229"/>
      <c r="O23" s="79">
        <f t="shared" si="7"/>
        <v>32.25</v>
      </c>
      <c r="P23" s="229"/>
      <c r="Q23" s="79">
        <f t="shared" si="8"/>
        <v>32.25</v>
      </c>
      <c r="R23" s="229"/>
      <c r="S23" s="79">
        <f t="shared" si="9"/>
        <v>32.25</v>
      </c>
      <c r="T23" s="229"/>
      <c r="U23" s="79">
        <f t="shared" si="10"/>
        <v>32.25</v>
      </c>
      <c r="V23" s="229"/>
      <c r="W23" s="233">
        <f t="shared" si="11"/>
        <v>32.25</v>
      </c>
      <c r="X23" s="229"/>
      <c r="Y23" s="236">
        <f t="shared" si="12"/>
        <v>33.862500000000004</v>
      </c>
      <c r="Z23" s="229"/>
      <c r="AA23" s="73">
        <f t="shared" si="0"/>
        <v>388.6125</v>
      </c>
      <c r="AB23" s="227">
        <f t="shared" si="1"/>
        <v>0</v>
      </c>
    </row>
    <row r="24" spans="1:28" ht="15">
      <c r="A24" s="11" t="s">
        <v>59</v>
      </c>
      <c r="B24" s="264"/>
      <c r="C24" s="79">
        <f>+RH!P24</f>
        <v>69.53333333333333</v>
      </c>
      <c r="D24" s="229"/>
      <c r="E24" s="79">
        <f t="shared" si="2"/>
        <v>69.53333333333333</v>
      </c>
      <c r="F24" s="229"/>
      <c r="G24" s="79">
        <f t="shared" si="3"/>
        <v>69.53333333333333</v>
      </c>
      <c r="H24" s="229"/>
      <c r="I24" s="79">
        <f t="shared" si="4"/>
        <v>69.53333333333333</v>
      </c>
      <c r="J24" s="229"/>
      <c r="K24" s="79">
        <f t="shared" si="5"/>
        <v>69.53333333333333</v>
      </c>
      <c r="L24" s="229"/>
      <c r="M24" s="79">
        <f t="shared" si="6"/>
        <v>69.53333333333333</v>
      </c>
      <c r="N24" s="229"/>
      <c r="O24" s="79">
        <f t="shared" si="7"/>
        <v>69.53333333333333</v>
      </c>
      <c r="P24" s="229"/>
      <c r="Q24" s="79">
        <f t="shared" si="8"/>
        <v>69.53333333333333</v>
      </c>
      <c r="R24" s="229"/>
      <c r="S24" s="79">
        <f t="shared" si="9"/>
        <v>69.53333333333333</v>
      </c>
      <c r="T24" s="229"/>
      <c r="U24" s="79">
        <f t="shared" si="10"/>
        <v>69.53333333333333</v>
      </c>
      <c r="V24" s="229"/>
      <c r="W24" s="233">
        <f t="shared" si="11"/>
        <v>69.53333333333333</v>
      </c>
      <c r="X24" s="229"/>
      <c r="Y24" s="236">
        <f t="shared" si="12"/>
        <v>73.01</v>
      </c>
      <c r="Z24" s="229"/>
      <c r="AA24" s="73">
        <f t="shared" si="0"/>
        <v>837.8766666666664</v>
      </c>
      <c r="AB24" s="227">
        <f t="shared" si="1"/>
        <v>0</v>
      </c>
    </row>
    <row r="25" spans="1:28" ht="15">
      <c r="A25" s="11" t="s">
        <v>24</v>
      </c>
      <c r="B25" s="264"/>
      <c r="C25" s="79">
        <v>2000</v>
      </c>
      <c r="D25" s="229"/>
      <c r="E25" s="79">
        <f t="shared" si="2"/>
        <v>2000</v>
      </c>
      <c r="F25" s="229"/>
      <c r="G25" s="79">
        <f t="shared" si="3"/>
        <v>2000</v>
      </c>
      <c r="H25" s="229"/>
      <c r="I25" s="79">
        <f t="shared" si="4"/>
        <v>2000</v>
      </c>
      <c r="J25" s="229"/>
      <c r="K25" s="79">
        <f t="shared" si="5"/>
        <v>2000</v>
      </c>
      <c r="L25" s="229"/>
      <c r="M25" s="79">
        <f t="shared" si="6"/>
        <v>2000</v>
      </c>
      <c r="N25" s="229"/>
      <c r="O25" s="79">
        <f t="shared" si="7"/>
        <v>2000</v>
      </c>
      <c r="P25" s="229"/>
      <c r="Q25" s="79">
        <f t="shared" si="8"/>
        <v>2000</v>
      </c>
      <c r="R25" s="229"/>
      <c r="S25" s="79">
        <f t="shared" si="9"/>
        <v>2000</v>
      </c>
      <c r="T25" s="229"/>
      <c r="U25" s="79">
        <f t="shared" si="10"/>
        <v>2000</v>
      </c>
      <c r="V25" s="229"/>
      <c r="W25" s="233">
        <f t="shared" si="11"/>
        <v>2000</v>
      </c>
      <c r="X25" s="229"/>
      <c r="Y25" s="236">
        <f t="shared" si="12"/>
        <v>2100</v>
      </c>
      <c r="Z25" s="229"/>
      <c r="AA25" s="73">
        <f t="shared" si="0"/>
        <v>24100</v>
      </c>
      <c r="AB25" s="227">
        <f t="shared" si="1"/>
        <v>0</v>
      </c>
    </row>
    <row r="26" spans="1:28" ht="15">
      <c r="A26" s="11" t="s">
        <v>60</v>
      </c>
      <c r="B26" s="264"/>
      <c r="C26" s="79">
        <f>Depreciação!E16</f>
        <v>2296.6666666666665</v>
      </c>
      <c r="D26" s="229"/>
      <c r="E26" s="79">
        <f t="shared" si="2"/>
        <v>2296.6666666666665</v>
      </c>
      <c r="F26" s="229"/>
      <c r="G26" s="79">
        <f t="shared" si="3"/>
        <v>2296.6666666666665</v>
      </c>
      <c r="H26" s="229"/>
      <c r="I26" s="79">
        <f t="shared" si="4"/>
        <v>2296.6666666666665</v>
      </c>
      <c r="J26" s="229"/>
      <c r="K26" s="79">
        <f t="shared" si="5"/>
        <v>2296.6666666666665</v>
      </c>
      <c r="L26" s="229"/>
      <c r="M26" s="79">
        <f t="shared" si="6"/>
        <v>2296.6666666666665</v>
      </c>
      <c r="N26" s="229"/>
      <c r="O26" s="79">
        <f t="shared" si="7"/>
        <v>2296.6666666666665</v>
      </c>
      <c r="P26" s="229"/>
      <c r="Q26" s="79">
        <f t="shared" si="8"/>
        <v>2296.6666666666665</v>
      </c>
      <c r="R26" s="229"/>
      <c r="S26" s="79">
        <f t="shared" si="9"/>
        <v>2296.6666666666665</v>
      </c>
      <c r="T26" s="229"/>
      <c r="U26" s="79">
        <f t="shared" si="10"/>
        <v>2296.6666666666665</v>
      </c>
      <c r="V26" s="229"/>
      <c r="W26" s="233">
        <f t="shared" si="11"/>
        <v>2296.6666666666665</v>
      </c>
      <c r="X26" s="229"/>
      <c r="Y26" s="236">
        <f t="shared" si="12"/>
        <v>2411.5</v>
      </c>
      <c r="Z26" s="229"/>
      <c r="AA26" s="73">
        <f t="shared" si="0"/>
        <v>27674.833333333336</v>
      </c>
      <c r="AB26" s="227">
        <f t="shared" si="1"/>
        <v>0</v>
      </c>
    </row>
    <row r="27" spans="1:28" ht="15">
      <c r="A27" s="224" t="s">
        <v>5</v>
      </c>
      <c r="B27" s="265"/>
      <c r="C27" s="226">
        <f>SUM(C13:C26)</f>
        <v>21023.77666666667</v>
      </c>
      <c r="D27" s="230"/>
      <c r="E27" s="226">
        <f>SUM(E13:E26)</f>
        <v>21023.77666666667</v>
      </c>
      <c r="F27" s="230"/>
      <c r="G27" s="226">
        <f>SUM(G13:G26)</f>
        <v>21023.77666666667</v>
      </c>
      <c r="H27" s="230"/>
      <c r="I27" s="226">
        <f>SUM(I13:I26)</f>
        <v>21023.77666666667</v>
      </c>
      <c r="J27" s="230"/>
      <c r="K27" s="226">
        <f>SUM(K13:K26)</f>
        <v>21023.77666666667</v>
      </c>
      <c r="L27" s="230"/>
      <c r="M27" s="226">
        <f>SUM(M13:M26)</f>
        <v>21023.77666666667</v>
      </c>
      <c r="N27" s="230"/>
      <c r="O27" s="226">
        <f>SUM(O13:O26)</f>
        <v>21023.77666666667</v>
      </c>
      <c r="P27" s="230"/>
      <c r="Q27" s="226">
        <f>SUM(Q13:Q26)</f>
        <v>21023.77666666667</v>
      </c>
      <c r="R27" s="230"/>
      <c r="S27" s="226">
        <f>SUM(S13:S26)</f>
        <v>21023.77666666667</v>
      </c>
      <c r="T27" s="230"/>
      <c r="U27" s="226">
        <f>SUM(U13:U26)</f>
        <v>21023.77666666667</v>
      </c>
      <c r="V27" s="230"/>
      <c r="W27" s="234">
        <f>SUM(W13:W26)</f>
        <v>21023.77666666667</v>
      </c>
      <c r="X27" s="230"/>
      <c r="Y27" s="239">
        <f>SUM(Y13:Y26)</f>
        <v>22074.9655</v>
      </c>
      <c r="Z27" s="230"/>
      <c r="AA27" s="239">
        <f>SUM(AA13:AA26)</f>
        <v>253336.50883333336</v>
      </c>
      <c r="AB27" s="230">
        <f>SUM(AB13:AB26)</f>
        <v>0</v>
      </c>
    </row>
    <row r="28" spans="1:28" ht="6.75" customHeight="1">
      <c r="A28" s="11"/>
      <c r="B28" s="264"/>
      <c r="C28" s="79"/>
      <c r="D28" s="229"/>
      <c r="E28" s="79"/>
      <c r="F28" s="229"/>
      <c r="G28" s="79"/>
      <c r="H28" s="229"/>
      <c r="I28" s="79"/>
      <c r="J28" s="229"/>
      <c r="K28" s="79"/>
      <c r="L28" s="229"/>
      <c r="M28" s="79"/>
      <c r="N28" s="229"/>
      <c r="O28" s="79"/>
      <c r="P28" s="229"/>
      <c r="Q28" s="79"/>
      <c r="R28" s="229"/>
      <c r="S28" s="79"/>
      <c r="T28" s="229"/>
      <c r="U28" s="79"/>
      <c r="V28" s="229"/>
      <c r="W28" s="233"/>
      <c r="X28" s="229"/>
      <c r="Y28" s="236"/>
      <c r="Z28" s="229"/>
      <c r="AA28" s="236"/>
      <c r="AB28" s="229"/>
    </row>
    <row r="29" spans="1:28" ht="15">
      <c r="A29" s="12" t="s">
        <v>20</v>
      </c>
      <c r="B29" s="263"/>
      <c r="C29" s="79"/>
      <c r="D29" s="229"/>
      <c r="E29" s="79"/>
      <c r="F29" s="229"/>
      <c r="G29" s="79"/>
      <c r="H29" s="229"/>
      <c r="I29" s="79"/>
      <c r="J29" s="229"/>
      <c r="K29" s="79"/>
      <c r="L29" s="229"/>
      <c r="M29" s="79"/>
      <c r="N29" s="229"/>
      <c r="O29" s="79"/>
      <c r="P29" s="229"/>
      <c r="Q29" s="79"/>
      <c r="R29" s="229"/>
      <c r="S29" s="79"/>
      <c r="T29" s="229"/>
      <c r="U29" s="79"/>
      <c r="V29" s="229"/>
      <c r="W29" s="233"/>
      <c r="X29" s="229"/>
      <c r="Y29" s="236"/>
      <c r="Z29" s="229"/>
      <c r="AA29" s="236"/>
      <c r="AB29" s="229"/>
    </row>
    <row r="30" spans="1:28" ht="15">
      <c r="A30" s="11" t="s">
        <v>62</v>
      </c>
      <c r="B30" s="264"/>
      <c r="C30" s="79">
        <v>70000</v>
      </c>
      <c r="D30" s="229"/>
      <c r="E30" s="79"/>
      <c r="F30" s="229"/>
      <c r="G30" s="79"/>
      <c r="H30" s="229"/>
      <c r="I30" s="79"/>
      <c r="J30" s="229"/>
      <c r="K30" s="79"/>
      <c r="L30" s="229"/>
      <c r="M30" s="79"/>
      <c r="N30" s="229"/>
      <c r="O30" s="79"/>
      <c r="P30" s="229"/>
      <c r="Q30" s="79"/>
      <c r="R30" s="229"/>
      <c r="S30" s="79"/>
      <c r="T30" s="229"/>
      <c r="U30" s="79"/>
      <c r="V30" s="229"/>
      <c r="W30" s="79"/>
      <c r="X30" s="229"/>
      <c r="Y30" s="79"/>
      <c r="Z30" s="229"/>
      <c r="AA30" s="73">
        <f>+Y30+W30+U30+S30+Q30+O30+M30+K30+I30+G30+E30+C30</f>
        <v>70000</v>
      </c>
      <c r="AB30" s="227">
        <f>+Z30+X30+V30+T30+R30+P30+N30+L30+J30+H30+F30+D30</f>
        <v>0</v>
      </c>
    </row>
    <row r="31" spans="1:28" ht="15">
      <c r="A31" s="11" t="s">
        <v>61</v>
      </c>
      <c r="B31" s="264"/>
      <c r="C31" s="79">
        <v>3000</v>
      </c>
      <c r="D31" s="229"/>
      <c r="E31" s="79"/>
      <c r="F31" s="229"/>
      <c r="G31" s="79"/>
      <c r="H31" s="229"/>
      <c r="I31" s="79"/>
      <c r="J31" s="229"/>
      <c r="K31" s="79"/>
      <c r="L31" s="229"/>
      <c r="M31" s="79"/>
      <c r="N31" s="229"/>
      <c r="O31" s="79"/>
      <c r="P31" s="229"/>
      <c r="Q31" s="79"/>
      <c r="R31" s="229"/>
      <c r="S31" s="79"/>
      <c r="T31" s="229"/>
      <c r="U31" s="79"/>
      <c r="V31" s="229"/>
      <c r="W31" s="233"/>
      <c r="X31" s="229"/>
      <c r="Y31" s="236"/>
      <c r="Z31" s="229"/>
      <c r="AA31" s="73">
        <f>+Y31+W31+U31+S31+Q31+O31+M31+K31+I31+G31+E31+C31</f>
        <v>3000</v>
      </c>
      <c r="AB31" s="227">
        <f>+Z31+X31+V31+T31+R31+P31+N31+L31+J31+H31+F31+D31</f>
        <v>0</v>
      </c>
    </row>
    <row r="32" spans="1:28" ht="15">
      <c r="A32" s="224" t="s">
        <v>5</v>
      </c>
      <c r="B32" s="265"/>
      <c r="C32" s="226">
        <f>SUM(C30:C31)</f>
        <v>73000</v>
      </c>
      <c r="D32" s="230"/>
      <c r="E32" s="226">
        <f>SUM(E30:E31)</f>
        <v>0</v>
      </c>
      <c r="F32" s="230"/>
      <c r="G32" s="226">
        <f>SUM(G30:G31)</f>
        <v>0</v>
      </c>
      <c r="H32" s="230"/>
      <c r="I32" s="226">
        <f>SUM(I30:I31)</f>
        <v>0</v>
      </c>
      <c r="J32" s="230"/>
      <c r="K32" s="226">
        <f>SUM(K30:K31)</f>
        <v>0</v>
      </c>
      <c r="L32" s="230"/>
      <c r="M32" s="226">
        <f>SUM(M30:M31)</f>
        <v>0</v>
      </c>
      <c r="N32" s="230"/>
      <c r="O32" s="226">
        <f>SUM(O30:O31)</f>
        <v>0</v>
      </c>
      <c r="P32" s="230"/>
      <c r="Q32" s="226">
        <f>SUM(Q30:Q31)</f>
        <v>0</v>
      </c>
      <c r="R32" s="230"/>
      <c r="S32" s="226">
        <f>SUM(S30:S31)</f>
        <v>0</v>
      </c>
      <c r="T32" s="230"/>
      <c r="U32" s="226">
        <f>SUM(U30:U31)</f>
        <v>0</v>
      </c>
      <c r="V32" s="230"/>
      <c r="W32" s="234">
        <f>SUM(W30:W31)</f>
        <v>0</v>
      </c>
      <c r="X32" s="230"/>
      <c r="Y32" s="239">
        <f>SUM(Y30:Y31)</f>
        <v>0</v>
      </c>
      <c r="Z32" s="230"/>
      <c r="AA32" s="239">
        <f>SUM(AA30:AA31)</f>
        <v>73000</v>
      </c>
      <c r="AB32" s="230">
        <f>SUM(AB30:AB31)</f>
        <v>0</v>
      </c>
    </row>
    <row r="33" spans="1:28" ht="8.25" customHeight="1">
      <c r="A33" s="11"/>
      <c r="B33" s="264"/>
      <c r="C33" s="79"/>
      <c r="D33" s="229"/>
      <c r="E33" s="79"/>
      <c r="F33" s="229"/>
      <c r="G33" s="79"/>
      <c r="H33" s="229"/>
      <c r="I33" s="79"/>
      <c r="J33" s="229"/>
      <c r="K33" s="79"/>
      <c r="L33" s="229"/>
      <c r="M33" s="79"/>
      <c r="N33" s="229"/>
      <c r="O33" s="79"/>
      <c r="P33" s="229"/>
      <c r="Q33" s="79"/>
      <c r="R33" s="229"/>
      <c r="S33" s="79"/>
      <c r="T33" s="229"/>
      <c r="U33" s="79"/>
      <c r="V33" s="229"/>
      <c r="W33" s="233"/>
      <c r="X33" s="229"/>
      <c r="Y33" s="236"/>
      <c r="Z33" s="229"/>
      <c r="AA33" s="236"/>
      <c r="AB33" s="229"/>
    </row>
    <row r="34" spans="1:28" ht="15">
      <c r="A34" s="12" t="s">
        <v>0</v>
      </c>
      <c r="B34" s="263"/>
      <c r="C34" s="79"/>
      <c r="D34" s="229"/>
      <c r="E34" s="79"/>
      <c r="F34" s="229"/>
      <c r="G34" s="79"/>
      <c r="H34" s="229"/>
      <c r="I34" s="79"/>
      <c r="J34" s="229"/>
      <c r="K34" s="79"/>
      <c r="L34" s="229"/>
      <c r="M34" s="79"/>
      <c r="N34" s="229"/>
      <c r="O34" s="79"/>
      <c r="P34" s="229"/>
      <c r="Q34" s="79"/>
      <c r="R34" s="229"/>
      <c r="S34" s="79"/>
      <c r="T34" s="229"/>
      <c r="U34" s="79"/>
      <c r="V34" s="229"/>
      <c r="W34" s="233"/>
      <c r="X34" s="229"/>
      <c r="Y34" s="236"/>
      <c r="Z34" s="229"/>
      <c r="AA34" s="236"/>
      <c r="AB34" s="229"/>
    </row>
    <row r="35" spans="1:28" ht="15">
      <c r="A35" s="11" t="s">
        <v>9</v>
      </c>
      <c r="B35" s="264"/>
      <c r="C35" s="79">
        <f>+C6*0.01</f>
        <v>2000</v>
      </c>
      <c r="D35" s="229"/>
      <c r="E35" s="79">
        <f>+E6*0.01</f>
        <v>0</v>
      </c>
      <c r="F35" s="229"/>
      <c r="G35" s="79">
        <f>+G6*0.01</f>
        <v>0</v>
      </c>
      <c r="H35" s="229"/>
      <c r="I35" s="79">
        <f>+I6*0.01</f>
        <v>0</v>
      </c>
      <c r="J35" s="229"/>
      <c r="K35" s="79">
        <f>+K6*0.01</f>
        <v>0</v>
      </c>
      <c r="L35" s="229"/>
      <c r="M35" s="79">
        <f>+M6*0.01</f>
        <v>0</v>
      </c>
      <c r="N35" s="229"/>
      <c r="O35" s="79">
        <f>+O6*0.01</f>
        <v>0</v>
      </c>
      <c r="P35" s="229"/>
      <c r="Q35" s="79">
        <f>+Q6*0.01</f>
        <v>0</v>
      </c>
      <c r="R35" s="229"/>
      <c r="S35" s="79">
        <f>+S6*0.01</f>
        <v>0</v>
      </c>
      <c r="T35" s="229"/>
      <c r="U35" s="79">
        <f>+U6*0.01</f>
        <v>0</v>
      </c>
      <c r="V35" s="229"/>
      <c r="W35" s="79">
        <f>+W6*0.01</f>
        <v>0</v>
      </c>
      <c r="X35" s="229"/>
      <c r="Y35" s="79">
        <f>+Y6*0.01</f>
        <v>0</v>
      </c>
      <c r="Z35" s="229"/>
      <c r="AA35" s="73">
        <f>+Y35+W35+U35+S35+Q35+O35+M35+K35+I35+G35+E35+C35</f>
        <v>2000</v>
      </c>
      <c r="AB35" s="227">
        <f>+Z35+X35+V35+T35+R35+P35+N35+L35+J35+H35+F35+D35</f>
        <v>0</v>
      </c>
    </row>
    <row r="36" spans="1:28" ht="15">
      <c r="A36" s="11" t="s">
        <v>66</v>
      </c>
      <c r="B36" s="264"/>
      <c r="C36" s="79">
        <v>10000</v>
      </c>
      <c r="D36" s="229"/>
      <c r="E36" s="79">
        <f>(-E6/1.05)+E6</f>
        <v>0</v>
      </c>
      <c r="F36" s="229"/>
      <c r="G36" s="79">
        <f>(-G6/1.05)+G6</f>
        <v>0</v>
      </c>
      <c r="H36" s="229"/>
      <c r="I36" s="79">
        <f>(-I6/1.05)+I6</f>
        <v>0</v>
      </c>
      <c r="J36" s="229"/>
      <c r="K36" s="79">
        <f>(-K6/1.05)+K6</f>
        <v>0</v>
      </c>
      <c r="L36" s="229"/>
      <c r="M36" s="79">
        <f>(-M6/1.05)+M6</f>
        <v>0</v>
      </c>
      <c r="N36" s="229"/>
      <c r="O36" s="79">
        <f>(-O6/1.05)+O6</f>
        <v>0</v>
      </c>
      <c r="P36" s="229"/>
      <c r="Q36" s="79">
        <f>(-Q6/1.05)+Q6</f>
        <v>0</v>
      </c>
      <c r="R36" s="229"/>
      <c r="S36" s="79">
        <f>(-S6/1.05)+S6</f>
        <v>0</v>
      </c>
      <c r="T36" s="229"/>
      <c r="U36" s="79">
        <f>(-U6/1.05)+U6</f>
        <v>0</v>
      </c>
      <c r="V36" s="229"/>
      <c r="W36" s="79">
        <f>(-W6/1.05)+W6</f>
        <v>0</v>
      </c>
      <c r="X36" s="229"/>
      <c r="Y36" s="79">
        <f>(-Y6/1.05)+Y6</f>
        <v>0</v>
      </c>
      <c r="Z36" s="229"/>
      <c r="AA36" s="73">
        <f aca="true" t="shared" si="13" ref="AA36:AA41">+Y36+W36+U36+S36+Q36+O36+M36+K36+I36+G36+E36+C36</f>
        <v>10000</v>
      </c>
      <c r="AB36" s="227">
        <f aca="true" t="shared" si="14" ref="AB36:AB41">+Z36+X36+V36+T36+R36+P36+N36+L36+J36+H36+F36+D36</f>
        <v>0</v>
      </c>
    </row>
    <row r="37" spans="1:28" ht="15">
      <c r="A37" s="11" t="s">
        <v>65</v>
      </c>
      <c r="B37" s="264"/>
      <c r="C37" s="79">
        <v>34000</v>
      </c>
      <c r="D37" s="229"/>
      <c r="E37" s="79">
        <f>(E6-E36)*0.18</f>
        <v>0</v>
      </c>
      <c r="F37" s="229"/>
      <c r="G37" s="79">
        <f>(G6-G36)*0.18</f>
        <v>0</v>
      </c>
      <c r="H37" s="229"/>
      <c r="I37" s="79">
        <f>(I6-I36)*0.18</f>
        <v>0</v>
      </c>
      <c r="J37" s="229"/>
      <c r="K37" s="79">
        <f>(K6-K36)*0.18</f>
        <v>0</v>
      </c>
      <c r="L37" s="229"/>
      <c r="M37" s="79">
        <f>(M6-M36)*0.18</f>
        <v>0</v>
      </c>
      <c r="N37" s="229"/>
      <c r="O37" s="79">
        <f>(O6-O36)*0.18</f>
        <v>0</v>
      </c>
      <c r="P37" s="229"/>
      <c r="Q37" s="79">
        <f>(Q6-Q36)*0.18</f>
        <v>0</v>
      </c>
      <c r="R37" s="229"/>
      <c r="S37" s="79">
        <f>(S6-S36)*0.18</f>
        <v>0</v>
      </c>
      <c r="T37" s="229"/>
      <c r="U37" s="79">
        <f>(U6-U36)*0.18</f>
        <v>0</v>
      </c>
      <c r="V37" s="229"/>
      <c r="W37" s="79">
        <f>(W6-W36)*0.18</f>
        <v>0</v>
      </c>
      <c r="X37" s="229"/>
      <c r="Y37" s="79">
        <f>(Y6-Y36)*0.18</f>
        <v>0</v>
      </c>
      <c r="Z37" s="229"/>
      <c r="AA37" s="73">
        <f t="shared" si="13"/>
        <v>34000</v>
      </c>
      <c r="AB37" s="227">
        <f t="shared" si="14"/>
        <v>0</v>
      </c>
    </row>
    <row r="38" spans="1:28" ht="15">
      <c r="A38" s="11" t="s">
        <v>67</v>
      </c>
      <c r="B38" s="264"/>
      <c r="C38" s="79">
        <v>7500</v>
      </c>
      <c r="D38" s="229"/>
      <c r="E38" s="79">
        <f>(E6*0.0365)</f>
        <v>0</v>
      </c>
      <c r="F38" s="229"/>
      <c r="G38" s="79">
        <f>(G6*0.0365)</f>
        <v>0</v>
      </c>
      <c r="H38" s="229"/>
      <c r="I38" s="79">
        <f>(I6*0.0365)</f>
        <v>0</v>
      </c>
      <c r="J38" s="229"/>
      <c r="K38" s="79">
        <f>(K6*0.0365)</f>
        <v>0</v>
      </c>
      <c r="L38" s="229"/>
      <c r="M38" s="79">
        <f>(M6*0.0365)</f>
        <v>0</v>
      </c>
      <c r="N38" s="229"/>
      <c r="O38" s="79">
        <f>(O6*0.0365)</f>
        <v>0</v>
      </c>
      <c r="P38" s="229"/>
      <c r="Q38" s="79">
        <f>(Q6*0.0365)</f>
        <v>0</v>
      </c>
      <c r="R38" s="229"/>
      <c r="S38" s="79">
        <f>(S6*0.0365)</f>
        <v>0</v>
      </c>
      <c r="T38" s="229"/>
      <c r="U38" s="79">
        <f>(U6*0.0365)</f>
        <v>0</v>
      </c>
      <c r="V38" s="229"/>
      <c r="W38" s="79">
        <f>(W6*0.0365)</f>
        <v>0</v>
      </c>
      <c r="X38" s="229"/>
      <c r="Y38" s="79">
        <f>(Y6*0.0365)</f>
        <v>0</v>
      </c>
      <c r="Z38" s="229"/>
      <c r="AA38" s="73">
        <f t="shared" si="13"/>
        <v>7500</v>
      </c>
      <c r="AB38" s="227">
        <f t="shared" si="14"/>
        <v>0</v>
      </c>
    </row>
    <row r="39" spans="1:28" ht="15">
      <c r="A39" s="11" t="s">
        <v>10</v>
      </c>
      <c r="B39" s="264"/>
      <c r="C39" s="79">
        <v>2500</v>
      </c>
      <c r="D39" s="229"/>
      <c r="E39" s="79">
        <f>((E6)*0.012)</f>
        <v>0</v>
      </c>
      <c r="F39" s="229"/>
      <c r="G39" s="79">
        <f>((G6)*0.012)</f>
        <v>0</v>
      </c>
      <c r="H39" s="229"/>
      <c r="I39" s="79">
        <f>((I6)*0.012)</f>
        <v>0</v>
      </c>
      <c r="J39" s="229"/>
      <c r="K39" s="79">
        <f>((K6)*0.012)</f>
        <v>0</v>
      </c>
      <c r="L39" s="229"/>
      <c r="M39" s="79">
        <f>((M6)*0.012)</f>
        <v>0</v>
      </c>
      <c r="N39" s="229"/>
      <c r="O39" s="79">
        <f>((O6)*0.012)</f>
        <v>0</v>
      </c>
      <c r="P39" s="229"/>
      <c r="Q39" s="79">
        <f>((Q6)*0.012)</f>
        <v>0</v>
      </c>
      <c r="R39" s="229"/>
      <c r="S39" s="79">
        <f>((S6)*0.012)</f>
        <v>0</v>
      </c>
      <c r="T39" s="229"/>
      <c r="U39" s="79">
        <f>((U6)*0.012)</f>
        <v>0</v>
      </c>
      <c r="V39" s="229"/>
      <c r="W39" s="79">
        <f>((W6)*0.012)</f>
        <v>0</v>
      </c>
      <c r="X39" s="229"/>
      <c r="Y39" s="79">
        <f>((Y6)*0.012)</f>
        <v>0</v>
      </c>
      <c r="Z39" s="229"/>
      <c r="AA39" s="73">
        <f t="shared" si="13"/>
        <v>2500</v>
      </c>
      <c r="AB39" s="227">
        <f t="shared" si="14"/>
        <v>0</v>
      </c>
    </row>
    <row r="40" spans="1:28" ht="15">
      <c r="A40" s="11" t="s">
        <v>84</v>
      </c>
      <c r="B40" s="264"/>
      <c r="C40" s="79">
        <v>2000</v>
      </c>
      <c r="D40" s="229"/>
      <c r="E40" s="79">
        <f>((E6-E36)*0.12)*0.09</f>
        <v>0</v>
      </c>
      <c r="F40" s="229"/>
      <c r="G40" s="79">
        <f>((G6-G36)*0.12)*0.09</f>
        <v>0</v>
      </c>
      <c r="H40" s="229"/>
      <c r="I40" s="79">
        <f>((I6-I36)*0.12)*0.09</f>
        <v>0</v>
      </c>
      <c r="J40" s="229"/>
      <c r="K40" s="79">
        <f>((K6-K36)*0.12)*0.09</f>
        <v>0</v>
      </c>
      <c r="L40" s="229"/>
      <c r="M40" s="79">
        <f>((M6-M36)*0.12)*0.09</f>
        <v>0</v>
      </c>
      <c r="N40" s="229"/>
      <c r="O40" s="79">
        <f>((O6-O36)*0.12)*0.09</f>
        <v>0</v>
      </c>
      <c r="P40" s="229"/>
      <c r="Q40" s="79">
        <f>((Q6-Q36)*0.12)*0.09</f>
        <v>0</v>
      </c>
      <c r="R40" s="229"/>
      <c r="S40" s="79">
        <f>((S6-S36)*0.12)*0.09</f>
        <v>0</v>
      </c>
      <c r="T40" s="229"/>
      <c r="U40" s="79">
        <f>((U6-U36)*0.12)*0.09</f>
        <v>0</v>
      </c>
      <c r="V40" s="229"/>
      <c r="W40" s="79">
        <f>((W6-W36)*0.12)*0.09</f>
        <v>0</v>
      </c>
      <c r="X40" s="229"/>
      <c r="Y40" s="79">
        <f>((Y6-Y36)*0.12)*0.09</f>
        <v>0</v>
      </c>
      <c r="Z40" s="229"/>
      <c r="AA40" s="73">
        <f t="shared" si="13"/>
        <v>2000</v>
      </c>
      <c r="AB40" s="227">
        <f t="shared" si="14"/>
        <v>0</v>
      </c>
    </row>
    <row r="41" spans="1:28" ht="15">
      <c r="A41" s="11" t="s">
        <v>11</v>
      </c>
      <c r="B41" s="264"/>
      <c r="C41" s="79">
        <v>0</v>
      </c>
      <c r="D41" s="229"/>
      <c r="E41" s="79"/>
      <c r="F41" s="229"/>
      <c r="G41" s="79"/>
      <c r="H41" s="229"/>
      <c r="I41" s="79"/>
      <c r="J41" s="229"/>
      <c r="K41" s="79"/>
      <c r="L41" s="229"/>
      <c r="M41" s="79"/>
      <c r="N41" s="229"/>
      <c r="O41" s="79"/>
      <c r="P41" s="229"/>
      <c r="Q41" s="79"/>
      <c r="R41" s="229"/>
      <c r="S41" s="79"/>
      <c r="T41" s="229"/>
      <c r="U41" s="79"/>
      <c r="V41" s="229"/>
      <c r="W41" s="233"/>
      <c r="X41" s="229"/>
      <c r="Y41" s="236"/>
      <c r="Z41" s="229"/>
      <c r="AA41" s="73">
        <f t="shared" si="13"/>
        <v>0</v>
      </c>
      <c r="AB41" s="227">
        <f t="shared" si="14"/>
        <v>0</v>
      </c>
    </row>
    <row r="42" spans="1:28" ht="15">
      <c r="A42" s="12" t="s">
        <v>5</v>
      </c>
      <c r="B42" s="263"/>
      <c r="C42" s="226">
        <f>SUM(C35:C41)</f>
        <v>58000</v>
      </c>
      <c r="D42" s="230"/>
      <c r="E42" s="226">
        <f>SUM(E35:E41)</f>
        <v>0</v>
      </c>
      <c r="F42" s="230"/>
      <c r="G42" s="226">
        <f>SUM(G35:G41)</f>
        <v>0</v>
      </c>
      <c r="H42" s="230"/>
      <c r="I42" s="226">
        <f>SUM(I35:I41)</f>
        <v>0</v>
      </c>
      <c r="J42" s="230"/>
      <c r="K42" s="226">
        <f>SUM(K35:K41)</f>
        <v>0</v>
      </c>
      <c r="L42" s="230"/>
      <c r="M42" s="226">
        <f>SUM(M35:M41)</f>
        <v>0</v>
      </c>
      <c r="N42" s="230"/>
      <c r="O42" s="226">
        <f>SUM(O35:O41)</f>
        <v>0</v>
      </c>
      <c r="P42" s="230"/>
      <c r="Q42" s="226">
        <f>SUM(Q35:Q41)</f>
        <v>0</v>
      </c>
      <c r="R42" s="230"/>
      <c r="S42" s="226">
        <f>SUM(S35:S41)</f>
        <v>0</v>
      </c>
      <c r="T42" s="230"/>
      <c r="U42" s="226">
        <f>SUM(U35:U41)</f>
        <v>0</v>
      </c>
      <c r="V42" s="230"/>
      <c r="W42" s="234">
        <f>SUM(W35:W41)</f>
        <v>0</v>
      </c>
      <c r="X42" s="230"/>
      <c r="Y42" s="239">
        <f>SUM(Y35:Y41)</f>
        <v>0</v>
      </c>
      <c r="Z42" s="230"/>
      <c r="AA42" s="239">
        <f>SUM(AA35:AA41)</f>
        <v>58000</v>
      </c>
      <c r="AB42" s="230">
        <f>SUM(AB35:AB41)</f>
        <v>0</v>
      </c>
    </row>
    <row r="43" spans="1:28" ht="6.75" customHeight="1">
      <c r="A43" s="13"/>
      <c r="B43" s="266"/>
      <c r="C43" s="76"/>
      <c r="D43" s="228"/>
      <c r="E43" s="76"/>
      <c r="F43" s="228"/>
      <c r="G43" s="76"/>
      <c r="H43" s="228"/>
      <c r="I43" s="76"/>
      <c r="J43" s="228"/>
      <c r="K43" s="76"/>
      <c r="L43" s="228"/>
      <c r="M43" s="76"/>
      <c r="N43" s="228"/>
      <c r="O43" s="76"/>
      <c r="P43" s="228"/>
      <c r="Q43" s="76"/>
      <c r="R43" s="228"/>
      <c r="S43" s="76"/>
      <c r="T43" s="228"/>
      <c r="U43" s="76"/>
      <c r="V43" s="228"/>
      <c r="W43" s="216"/>
      <c r="X43" s="228"/>
      <c r="Y43" s="237"/>
      <c r="Z43" s="228"/>
      <c r="AA43" s="237"/>
      <c r="AB43" s="228"/>
    </row>
    <row r="44" spans="1:28" ht="15">
      <c r="A44" s="12" t="s">
        <v>1</v>
      </c>
      <c r="B44" s="263"/>
      <c r="C44" s="79"/>
      <c r="D44" s="229"/>
      <c r="E44" s="79"/>
      <c r="F44" s="229"/>
      <c r="G44" s="79"/>
      <c r="H44" s="229"/>
      <c r="I44" s="79"/>
      <c r="J44" s="229"/>
      <c r="K44" s="79"/>
      <c r="L44" s="229"/>
      <c r="M44" s="79"/>
      <c r="N44" s="229"/>
      <c r="O44" s="79"/>
      <c r="P44" s="229"/>
      <c r="Q44" s="79"/>
      <c r="R44" s="229"/>
      <c r="S44" s="79"/>
      <c r="T44" s="229"/>
      <c r="U44" s="79"/>
      <c r="V44" s="229"/>
      <c r="W44" s="233"/>
      <c r="X44" s="229"/>
      <c r="Y44" s="236"/>
      <c r="Z44" s="229"/>
      <c r="AA44" s="236"/>
      <c r="AB44" s="229"/>
    </row>
    <row r="45" spans="1:28" ht="15">
      <c r="A45" s="11" t="s">
        <v>63</v>
      </c>
      <c r="B45" s="264"/>
      <c r="C45" s="79">
        <f>RH!E44</f>
        <v>20360</v>
      </c>
      <c r="D45" s="229"/>
      <c r="E45" s="79">
        <f aca="true" t="shared" si="15" ref="E45:E58">+C45</f>
        <v>20360</v>
      </c>
      <c r="F45" s="229"/>
      <c r="G45" s="79">
        <f aca="true" t="shared" si="16" ref="G45:G58">+E45</f>
        <v>20360</v>
      </c>
      <c r="H45" s="229"/>
      <c r="I45" s="79">
        <f aca="true" t="shared" si="17" ref="I45:I58">+G45</f>
        <v>20360</v>
      </c>
      <c r="J45" s="229"/>
      <c r="K45" s="79">
        <f aca="true" t="shared" si="18" ref="K45:K58">+I45</f>
        <v>20360</v>
      </c>
      <c r="L45" s="229"/>
      <c r="M45" s="79">
        <f aca="true" t="shared" si="19" ref="M45:M58">+K45</f>
        <v>20360</v>
      </c>
      <c r="N45" s="229"/>
      <c r="O45" s="79">
        <f aca="true" t="shared" si="20" ref="O45:O58">+M45</f>
        <v>20360</v>
      </c>
      <c r="P45" s="229"/>
      <c r="Q45" s="79">
        <f aca="true" t="shared" si="21" ref="Q45:Q58">+O45</f>
        <v>20360</v>
      </c>
      <c r="R45" s="229"/>
      <c r="S45" s="79">
        <f aca="true" t="shared" si="22" ref="S45:S58">+Q45</f>
        <v>20360</v>
      </c>
      <c r="T45" s="229"/>
      <c r="U45" s="79">
        <f aca="true" t="shared" si="23" ref="U45:U58">+S45</f>
        <v>20360</v>
      </c>
      <c r="V45" s="229"/>
      <c r="W45" s="79">
        <f aca="true" t="shared" si="24" ref="W45:W58">+U45</f>
        <v>20360</v>
      </c>
      <c r="X45" s="229"/>
      <c r="Y45" s="236">
        <f>+W45*1.05</f>
        <v>21378</v>
      </c>
      <c r="Z45" s="229"/>
      <c r="AA45" s="73">
        <f aca="true" t="shared" si="25" ref="AA45:AA68">+Y45+W45+U45+S45+Q45+O45+M45+K45+I45+G45+E45+C45</f>
        <v>245338</v>
      </c>
      <c r="AB45" s="229"/>
    </row>
    <row r="46" spans="1:28" ht="15">
      <c r="A46" s="11" t="s">
        <v>39</v>
      </c>
      <c r="B46" s="264"/>
      <c r="C46" s="79">
        <f>RH!F44</f>
        <v>861.72</v>
      </c>
      <c r="D46" s="229"/>
      <c r="E46" s="79">
        <f t="shared" si="15"/>
        <v>861.72</v>
      </c>
      <c r="F46" s="229"/>
      <c r="G46" s="79">
        <f t="shared" si="16"/>
        <v>861.72</v>
      </c>
      <c r="H46" s="229"/>
      <c r="I46" s="79">
        <f t="shared" si="17"/>
        <v>861.72</v>
      </c>
      <c r="J46" s="229"/>
      <c r="K46" s="79">
        <f t="shared" si="18"/>
        <v>861.72</v>
      </c>
      <c r="L46" s="229"/>
      <c r="M46" s="79">
        <f t="shared" si="19"/>
        <v>861.72</v>
      </c>
      <c r="N46" s="229"/>
      <c r="O46" s="79">
        <f t="shared" si="20"/>
        <v>861.72</v>
      </c>
      <c r="P46" s="229"/>
      <c r="Q46" s="79">
        <f t="shared" si="21"/>
        <v>861.72</v>
      </c>
      <c r="R46" s="229"/>
      <c r="S46" s="79">
        <f t="shared" si="22"/>
        <v>861.72</v>
      </c>
      <c r="T46" s="229"/>
      <c r="U46" s="79">
        <f t="shared" si="23"/>
        <v>861.72</v>
      </c>
      <c r="V46" s="229"/>
      <c r="W46" s="79">
        <f t="shared" si="24"/>
        <v>861.72</v>
      </c>
      <c r="X46" s="229"/>
      <c r="Y46" s="236">
        <f aca="true" t="shared" si="26" ref="Y46:Y58">+W46*1.05</f>
        <v>904.806</v>
      </c>
      <c r="Z46" s="229"/>
      <c r="AA46" s="73">
        <f t="shared" si="25"/>
        <v>10383.726</v>
      </c>
      <c r="AB46" s="229"/>
    </row>
    <row r="47" spans="1:28" ht="15">
      <c r="A47" s="11" t="s">
        <v>40</v>
      </c>
      <c r="B47" s="264"/>
      <c r="C47" s="79">
        <f>RH!G44</f>
        <v>1628.7999999999997</v>
      </c>
      <c r="D47" s="229"/>
      <c r="E47" s="79">
        <f t="shared" si="15"/>
        <v>1628.7999999999997</v>
      </c>
      <c r="F47" s="229"/>
      <c r="G47" s="79">
        <f t="shared" si="16"/>
        <v>1628.7999999999997</v>
      </c>
      <c r="H47" s="229"/>
      <c r="I47" s="79">
        <f t="shared" si="17"/>
        <v>1628.7999999999997</v>
      </c>
      <c r="J47" s="229"/>
      <c r="K47" s="79">
        <f t="shared" si="18"/>
        <v>1628.7999999999997</v>
      </c>
      <c r="L47" s="229"/>
      <c r="M47" s="79">
        <f t="shared" si="19"/>
        <v>1628.7999999999997</v>
      </c>
      <c r="N47" s="229"/>
      <c r="O47" s="79">
        <f t="shared" si="20"/>
        <v>1628.7999999999997</v>
      </c>
      <c r="P47" s="229"/>
      <c r="Q47" s="79">
        <f t="shared" si="21"/>
        <v>1628.7999999999997</v>
      </c>
      <c r="R47" s="229"/>
      <c r="S47" s="79">
        <f t="shared" si="22"/>
        <v>1628.7999999999997</v>
      </c>
      <c r="T47" s="229"/>
      <c r="U47" s="79">
        <f t="shared" si="23"/>
        <v>1628.7999999999997</v>
      </c>
      <c r="V47" s="229"/>
      <c r="W47" s="79">
        <f t="shared" si="24"/>
        <v>1628.7999999999997</v>
      </c>
      <c r="X47" s="229"/>
      <c r="Y47" s="236">
        <f t="shared" si="26"/>
        <v>1710.2399999999998</v>
      </c>
      <c r="Z47" s="229"/>
      <c r="AA47" s="73">
        <f t="shared" si="25"/>
        <v>19627.039999999994</v>
      </c>
      <c r="AB47" s="229"/>
    </row>
    <row r="48" spans="1:28" ht="15">
      <c r="A48" s="11" t="s">
        <v>143</v>
      </c>
      <c r="B48" s="264"/>
      <c r="C48" s="79">
        <f>RH!H44</f>
        <v>1075.5000000000002</v>
      </c>
      <c r="D48" s="229"/>
      <c r="E48" s="79">
        <f t="shared" si="15"/>
        <v>1075.5000000000002</v>
      </c>
      <c r="F48" s="229"/>
      <c r="G48" s="79">
        <f t="shared" si="16"/>
        <v>1075.5000000000002</v>
      </c>
      <c r="H48" s="229"/>
      <c r="I48" s="79">
        <f t="shared" si="17"/>
        <v>1075.5000000000002</v>
      </c>
      <c r="J48" s="229"/>
      <c r="K48" s="79">
        <f t="shared" si="18"/>
        <v>1075.5000000000002</v>
      </c>
      <c r="L48" s="229"/>
      <c r="M48" s="79">
        <f t="shared" si="19"/>
        <v>1075.5000000000002</v>
      </c>
      <c r="N48" s="229"/>
      <c r="O48" s="79">
        <f t="shared" si="20"/>
        <v>1075.5000000000002</v>
      </c>
      <c r="P48" s="229"/>
      <c r="Q48" s="79">
        <f t="shared" si="21"/>
        <v>1075.5000000000002</v>
      </c>
      <c r="R48" s="229"/>
      <c r="S48" s="79">
        <f t="shared" si="22"/>
        <v>1075.5000000000002</v>
      </c>
      <c r="T48" s="229"/>
      <c r="U48" s="79">
        <f t="shared" si="23"/>
        <v>1075.5000000000002</v>
      </c>
      <c r="V48" s="229"/>
      <c r="W48" s="79">
        <f t="shared" si="24"/>
        <v>1075.5000000000002</v>
      </c>
      <c r="X48" s="229"/>
      <c r="Y48" s="236">
        <f t="shared" si="26"/>
        <v>1129.2750000000003</v>
      </c>
      <c r="Z48" s="229"/>
      <c r="AA48" s="73">
        <f t="shared" si="25"/>
        <v>12959.775000000001</v>
      </c>
      <c r="AB48" s="229"/>
    </row>
    <row r="49" spans="1:28" ht="15">
      <c r="A49" s="11" t="s">
        <v>27</v>
      </c>
      <c r="B49" s="264"/>
      <c r="C49" s="79">
        <f>RH!I44</f>
        <v>340</v>
      </c>
      <c r="D49" s="229"/>
      <c r="E49" s="79">
        <f t="shared" si="15"/>
        <v>340</v>
      </c>
      <c r="F49" s="229"/>
      <c r="G49" s="79">
        <f t="shared" si="16"/>
        <v>340</v>
      </c>
      <c r="H49" s="229"/>
      <c r="I49" s="79">
        <f t="shared" si="17"/>
        <v>340</v>
      </c>
      <c r="J49" s="229"/>
      <c r="K49" s="79">
        <f t="shared" si="18"/>
        <v>340</v>
      </c>
      <c r="L49" s="229"/>
      <c r="M49" s="79">
        <f t="shared" si="19"/>
        <v>340</v>
      </c>
      <c r="N49" s="229"/>
      <c r="O49" s="79">
        <f t="shared" si="20"/>
        <v>340</v>
      </c>
      <c r="P49" s="229"/>
      <c r="Q49" s="79">
        <f t="shared" si="21"/>
        <v>340</v>
      </c>
      <c r="R49" s="229"/>
      <c r="S49" s="79">
        <f t="shared" si="22"/>
        <v>340</v>
      </c>
      <c r="T49" s="229"/>
      <c r="U49" s="79">
        <f t="shared" si="23"/>
        <v>340</v>
      </c>
      <c r="V49" s="229"/>
      <c r="W49" s="79">
        <f t="shared" si="24"/>
        <v>340</v>
      </c>
      <c r="X49" s="229"/>
      <c r="Y49" s="236">
        <f t="shared" si="26"/>
        <v>357</v>
      </c>
      <c r="Z49" s="229"/>
      <c r="AA49" s="73">
        <f t="shared" si="25"/>
        <v>4097</v>
      </c>
      <c r="AB49" s="229"/>
    </row>
    <row r="50" spans="1:28" ht="15">
      <c r="A50" s="11" t="s">
        <v>144</v>
      </c>
      <c r="B50" s="264"/>
      <c r="C50" s="79">
        <f>RH!J44</f>
        <v>2772</v>
      </c>
      <c r="D50" s="229"/>
      <c r="E50" s="79">
        <f t="shared" si="15"/>
        <v>2772</v>
      </c>
      <c r="F50" s="229"/>
      <c r="G50" s="79">
        <f t="shared" si="16"/>
        <v>2772</v>
      </c>
      <c r="H50" s="229"/>
      <c r="I50" s="79">
        <f t="shared" si="17"/>
        <v>2772</v>
      </c>
      <c r="J50" s="229"/>
      <c r="K50" s="79">
        <f t="shared" si="18"/>
        <v>2772</v>
      </c>
      <c r="L50" s="229"/>
      <c r="M50" s="79">
        <f t="shared" si="19"/>
        <v>2772</v>
      </c>
      <c r="N50" s="229"/>
      <c r="O50" s="79">
        <f t="shared" si="20"/>
        <v>2772</v>
      </c>
      <c r="P50" s="229"/>
      <c r="Q50" s="79">
        <f t="shared" si="21"/>
        <v>2772</v>
      </c>
      <c r="R50" s="229"/>
      <c r="S50" s="79">
        <f t="shared" si="22"/>
        <v>2772</v>
      </c>
      <c r="T50" s="229"/>
      <c r="U50" s="79">
        <f t="shared" si="23"/>
        <v>2772</v>
      </c>
      <c r="V50" s="229"/>
      <c r="W50" s="79">
        <f t="shared" si="24"/>
        <v>2772</v>
      </c>
      <c r="X50" s="229"/>
      <c r="Y50" s="236">
        <f t="shared" si="26"/>
        <v>2910.6</v>
      </c>
      <c r="Z50" s="229"/>
      <c r="AA50" s="73">
        <f t="shared" si="25"/>
        <v>33402.6</v>
      </c>
      <c r="AB50" s="229"/>
    </row>
    <row r="51" spans="1:28" ht="15">
      <c r="A51" s="11" t="s">
        <v>54</v>
      </c>
      <c r="B51" s="264"/>
      <c r="C51" s="79">
        <f>RH!K44</f>
        <v>2262.2222222222217</v>
      </c>
      <c r="D51" s="229"/>
      <c r="E51" s="79">
        <f t="shared" si="15"/>
        <v>2262.2222222222217</v>
      </c>
      <c r="F51" s="229"/>
      <c r="G51" s="79">
        <f t="shared" si="16"/>
        <v>2262.2222222222217</v>
      </c>
      <c r="H51" s="229"/>
      <c r="I51" s="79">
        <f t="shared" si="17"/>
        <v>2262.2222222222217</v>
      </c>
      <c r="J51" s="229"/>
      <c r="K51" s="79">
        <f t="shared" si="18"/>
        <v>2262.2222222222217</v>
      </c>
      <c r="L51" s="229"/>
      <c r="M51" s="79">
        <f t="shared" si="19"/>
        <v>2262.2222222222217</v>
      </c>
      <c r="N51" s="229"/>
      <c r="O51" s="79">
        <f t="shared" si="20"/>
        <v>2262.2222222222217</v>
      </c>
      <c r="P51" s="229"/>
      <c r="Q51" s="79">
        <f t="shared" si="21"/>
        <v>2262.2222222222217</v>
      </c>
      <c r="R51" s="229"/>
      <c r="S51" s="79">
        <f t="shared" si="22"/>
        <v>2262.2222222222217</v>
      </c>
      <c r="T51" s="229"/>
      <c r="U51" s="79">
        <f t="shared" si="23"/>
        <v>2262.2222222222217</v>
      </c>
      <c r="V51" s="229"/>
      <c r="W51" s="79">
        <f t="shared" si="24"/>
        <v>2262.2222222222217</v>
      </c>
      <c r="X51" s="229"/>
      <c r="Y51" s="236">
        <f t="shared" si="26"/>
        <v>2375.333333333333</v>
      </c>
      <c r="Z51" s="229"/>
      <c r="AA51" s="73">
        <f t="shared" si="25"/>
        <v>27259.777777777777</v>
      </c>
      <c r="AB51" s="229"/>
    </row>
    <row r="52" spans="1:28" ht="15">
      <c r="A52" s="11" t="s">
        <v>55</v>
      </c>
      <c r="B52" s="264"/>
      <c r="C52" s="79">
        <f>RH!L44</f>
        <v>95.74666666666666</v>
      </c>
      <c r="D52" s="229"/>
      <c r="E52" s="79">
        <f t="shared" si="15"/>
        <v>95.74666666666666</v>
      </c>
      <c r="F52" s="229"/>
      <c r="G52" s="79">
        <f t="shared" si="16"/>
        <v>95.74666666666666</v>
      </c>
      <c r="H52" s="229"/>
      <c r="I52" s="79">
        <f t="shared" si="17"/>
        <v>95.74666666666666</v>
      </c>
      <c r="J52" s="229"/>
      <c r="K52" s="79">
        <f t="shared" si="18"/>
        <v>95.74666666666666</v>
      </c>
      <c r="L52" s="229"/>
      <c r="M52" s="79">
        <f t="shared" si="19"/>
        <v>95.74666666666666</v>
      </c>
      <c r="N52" s="229"/>
      <c r="O52" s="79">
        <f t="shared" si="20"/>
        <v>95.74666666666666</v>
      </c>
      <c r="P52" s="229"/>
      <c r="Q52" s="79">
        <f t="shared" si="21"/>
        <v>95.74666666666666</v>
      </c>
      <c r="R52" s="229"/>
      <c r="S52" s="79">
        <f t="shared" si="22"/>
        <v>95.74666666666666</v>
      </c>
      <c r="T52" s="229"/>
      <c r="U52" s="79">
        <f t="shared" si="23"/>
        <v>95.74666666666666</v>
      </c>
      <c r="V52" s="229"/>
      <c r="W52" s="79">
        <f t="shared" si="24"/>
        <v>95.74666666666666</v>
      </c>
      <c r="X52" s="229"/>
      <c r="Y52" s="236">
        <f t="shared" si="26"/>
        <v>100.53399999999999</v>
      </c>
      <c r="Z52" s="229"/>
      <c r="AA52" s="73">
        <f t="shared" si="25"/>
        <v>1153.7473333333332</v>
      </c>
      <c r="AB52" s="229"/>
    </row>
    <row r="53" spans="1:28" ht="15">
      <c r="A53" s="11" t="s">
        <v>56</v>
      </c>
      <c r="B53" s="264"/>
      <c r="C53" s="79">
        <f>RH!M44</f>
        <v>139.37777777777777</v>
      </c>
      <c r="D53" s="229"/>
      <c r="E53" s="79">
        <f t="shared" si="15"/>
        <v>139.37777777777777</v>
      </c>
      <c r="F53" s="229"/>
      <c r="G53" s="79">
        <f t="shared" si="16"/>
        <v>139.37777777777777</v>
      </c>
      <c r="H53" s="229"/>
      <c r="I53" s="79">
        <f t="shared" si="17"/>
        <v>139.37777777777777</v>
      </c>
      <c r="J53" s="229"/>
      <c r="K53" s="79">
        <f t="shared" si="18"/>
        <v>139.37777777777777</v>
      </c>
      <c r="L53" s="229"/>
      <c r="M53" s="79">
        <f t="shared" si="19"/>
        <v>139.37777777777777</v>
      </c>
      <c r="N53" s="229"/>
      <c r="O53" s="79">
        <f t="shared" si="20"/>
        <v>139.37777777777777</v>
      </c>
      <c r="P53" s="229"/>
      <c r="Q53" s="79">
        <f t="shared" si="21"/>
        <v>139.37777777777777</v>
      </c>
      <c r="R53" s="229"/>
      <c r="S53" s="79">
        <f t="shared" si="22"/>
        <v>139.37777777777777</v>
      </c>
      <c r="T53" s="229"/>
      <c r="U53" s="79">
        <f t="shared" si="23"/>
        <v>139.37777777777777</v>
      </c>
      <c r="V53" s="229"/>
      <c r="W53" s="79">
        <f t="shared" si="24"/>
        <v>139.37777777777777</v>
      </c>
      <c r="X53" s="229"/>
      <c r="Y53" s="236">
        <f t="shared" si="26"/>
        <v>146.34666666666666</v>
      </c>
      <c r="Z53" s="229"/>
      <c r="AA53" s="73">
        <f t="shared" si="25"/>
        <v>1679.502222222222</v>
      </c>
      <c r="AB53" s="229"/>
    </row>
    <row r="54" spans="1:28" ht="15">
      <c r="A54" s="11" t="s">
        <v>57</v>
      </c>
      <c r="B54" s="264"/>
      <c r="C54" s="79">
        <f>RH!N44</f>
        <v>1696.666666666666</v>
      </c>
      <c r="D54" s="229"/>
      <c r="E54" s="79">
        <f t="shared" si="15"/>
        <v>1696.666666666666</v>
      </c>
      <c r="F54" s="229"/>
      <c r="G54" s="79">
        <f t="shared" si="16"/>
        <v>1696.666666666666</v>
      </c>
      <c r="H54" s="229"/>
      <c r="I54" s="79">
        <f t="shared" si="17"/>
        <v>1696.666666666666</v>
      </c>
      <c r="J54" s="229"/>
      <c r="K54" s="79">
        <f t="shared" si="18"/>
        <v>1696.666666666666</v>
      </c>
      <c r="L54" s="229"/>
      <c r="M54" s="79">
        <f t="shared" si="19"/>
        <v>1696.666666666666</v>
      </c>
      <c r="N54" s="229"/>
      <c r="O54" s="79">
        <f t="shared" si="20"/>
        <v>1696.666666666666</v>
      </c>
      <c r="P54" s="229"/>
      <c r="Q54" s="79">
        <f t="shared" si="21"/>
        <v>1696.666666666666</v>
      </c>
      <c r="R54" s="229"/>
      <c r="S54" s="79">
        <f t="shared" si="22"/>
        <v>1696.666666666666</v>
      </c>
      <c r="T54" s="229"/>
      <c r="U54" s="79">
        <f t="shared" si="23"/>
        <v>1696.666666666666</v>
      </c>
      <c r="V54" s="229"/>
      <c r="W54" s="79">
        <f t="shared" si="24"/>
        <v>1696.666666666666</v>
      </c>
      <c r="X54" s="229"/>
      <c r="Y54" s="236">
        <f t="shared" si="26"/>
        <v>1781.4999999999995</v>
      </c>
      <c r="Z54" s="229"/>
      <c r="AA54" s="73">
        <f t="shared" si="25"/>
        <v>20444.83333333332</v>
      </c>
      <c r="AB54" s="229"/>
    </row>
    <row r="55" spans="1:28" ht="15">
      <c r="A55" s="11" t="s">
        <v>58</v>
      </c>
      <c r="B55" s="264"/>
      <c r="C55" s="79">
        <f>RH!O44</f>
        <v>95.39750000000001</v>
      </c>
      <c r="D55" s="229"/>
      <c r="E55" s="79">
        <f t="shared" si="15"/>
        <v>95.39750000000001</v>
      </c>
      <c r="F55" s="229"/>
      <c r="G55" s="79">
        <f t="shared" si="16"/>
        <v>95.39750000000001</v>
      </c>
      <c r="H55" s="229"/>
      <c r="I55" s="79">
        <f t="shared" si="17"/>
        <v>95.39750000000001</v>
      </c>
      <c r="J55" s="229"/>
      <c r="K55" s="79">
        <f t="shared" si="18"/>
        <v>95.39750000000001</v>
      </c>
      <c r="L55" s="229"/>
      <c r="M55" s="79">
        <f t="shared" si="19"/>
        <v>95.39750000000001</v>
      </c>
      <c r="N55" s="229"/>
      <c r="O55" s="79">
        <f t="shared" si="20"/>
        <v>95.39750000000001</v>
      </c>
      <c r="P55" s="229"/>
      <c r="Q55" s="79">
        <f t="shared" si="21"/>
        <v>95.39750000000001</v>
      </c>
      <c r="R55" s="229"/>
      <c r="S55" s="79">
        <f t="shared" si="22"/>
        <v>95.39750000000001</v>
      </c>
      <c r="T55" s="229"/>
      <c r="U55" s="79">
        <f t="shared" si="23"/>
        <v>95.39750000000001</v>
      </c>
      <c r="V55" s="229"/>
      <c r="W55" s="79">
        <f t="shared" si="24"/>
        <v>95.39750000000001</v>
      </c>
      <c r="X55" s="229"/>
      <c r="Y55" s="236">
        <f t="shared" si="26"/>
        <v>100.167375</v>
      </c>
      <c r="Z55" s="229"/>
      <c r="AA55" s="73">
        <f t="shared" si="25"/>
        <v>1149.5398750000004</v>
      </c>
      <c r="AB55" s="229"/>
    </row>
    <row r="56" spans="1:28" ht="15">
      <c r="A56" s="11" t="s">
        <v>59</v>
      </c>
      <c r="B56" s="264"/>
      <c r="C56" s="79">
        <f>RH!P44</f>
        <v>135.73333333333335</v>
      </c>
      <c r="D56" s="229"/>
      <c r="E56" s="79">
        <f t="shared" si="15"/>
        <v>135.73333333333335</v>
      </c>
      <c r="F56" s="229"/>
      <c r="G56" s="79">
        <f t="shared" si="16"/>
        <v>135.73333333333335</v>
      </c>
      <c r="H56" s="229"/>
      <c r="I56" s="79">
        <f t="shared" si="17"/>
        <v>135.73333333333335</v>
      </c>
      <c r="J56" s="229"/>
      <c r="K56" s="79">
        <f t="shared" si="18"/>
        <v>135.73333333333335</v>
      </c>
      <c r="L56" s="229"/>
      <c r="M56" s="79">
        <f t="shared" si="19"/>
        <v>135.73333333333335</v>
      </c>
      <c r="N56" s="229"/>
      <c r="O56" s="79">
        <f t="shared" si="20"/>
        <v>135.73333333333335</v>
      </c>
      <c r="P56" s="229"/>
      <c r="Q56" s="79">
        <f t="shared" si="21"/>
        <v>135.73333333333335</v>
      </c>
      <c r="R56" s="229"/>
      <c r="S56" s="79">
        <f t="shared" si="22"/>
        <v>135.73333333333335</v>
      </c>
      <c r="T56" s="229"/>
      <c r="U56" s="79">
        <f t="shared" si="23"/>
        <v>135.73333333333335</v>
      </c>
      <c r="V56" s="229"/>
      <c r="W56" s="79">
        <f t="shared" si="24"/>
        <v>135.73333333333335</v>
      </c>
      <c r="X56" s="229"/>
      <c r="Y56" s="236">
        <f t="shared" si="26"/>
        <v>142.52</v>
      </c>
      <c r="Z56" s="229"/>
      <c r="AA56" s="73">
        <f t="shared" si="25"/>
        <v>1635.5866666666668</v>
      </c>
      <c r="AB56" s="229"/>
    </row>
    <row r="57" spans="1:28" ht="15">
      <c r="A57" s="11" t="s">
        <v>15</v>
      </c>
      <c r="B57" s="264"/>
      <c r="C57" s="79">
        <v>160</v>
      </c>
      <c r="D57" s="229"/>
      <c r="E57" s="79">
        <f t="shared" si="15"/>
        <v>160</v>
      </c>
      <c r="F57" s="229"/>
      <c r="G57" s="79">
        <f t="shared" si="16"/>
        <v>160</v>
      </c>
      <c r="H57" s="229"/>
      <c r="I57" s="79">
        <f t="shared" si="17"/>
        <v>160</v>
      </c>
      <c r="J57" s="229"/>
      <c r="K57" s="79">
        <f t="shared" si="18"/>
        <v>160</v>
      </c>
      <c r="L57" s="229"/>
      <c r="M57" s="79">
        <f t="shared" si="19"/>
        <v>160</v>
      </c>
      <c r="N57" s="229"/>
      <c r="O57" s="79">
        <f t="shared" si="20"/>
        <v>160</v>
      </c>
      <c r="P57" s="229"/>
      <c r="Q57" s="79">
        <f t="shared" si="21"/>
        <v>160</v>
      </c>
      <c r="R57" s="229"/>
      <c r="S57" s="79">
        <f t="shared" si="22"/>
        <v>160</v>
      </c>
      <c r="T57" s="229"/>
      <c r="U57" s="79">
        <f t="shared" si="23"/>
        <v>160</v>
      </c>
      <c r="V57" s="229"/>
      <c r="W57" s="233">
        <f t="shared" si="24"/>
        <v>160</v>
      </c>
      <c r="X57" s="229"/>
      <c r="Y57" s="236">
        <f t="shared" si="26"/>
        <v>168</v>
      </c>
      <c r="Z57" s="229"/>
      <c r="AA57" s="73">
        <f t="shared" si="25"/>
        <v>1928</v>
      </c>
      <c r="AB57" s="229"/>
    </row>
    <row r="58" spans="1:28" ht="15">
      <c r="A58" s="11" t="s">
        <v>16</v>
      </c>
      <c r="B58" s="264"/>
      <c r="C58" s="79">
        <v>750</v>
      </c>
      <c r="D58" s="229"/>
      <c r="E58" s="79">
        <f t="shared" si="15"/>
        <v>750</v>
      </c>
      <c r="F58" s="229"/>
      <c r="G58" s="79">
        <f t="shared" si="16"/>
        <v>750</v>
      </c>
      <c r="H58" s="229"/>
      <c r="I58" s="79">
        <f t="shared" si="17"/>
        <v>750</v>
      </c>
      <c r="J58" s="229"/>
      <c r="K58" s="79">
        <f t="shared" si="18"/>
        <v>750</v>
      </c>
      <c r="L58" s="229"/>
      <c r="M58" s="79">
        <f t="shared" si="19"/>
        <v>750</v>
      </c>
      <c r="N58" s="229"/>
      <c r="O58" s="79">
        <f t="shared" si="20"/>
        <v>750</v>
      </c>
      <c r="P58" s="229"/>
      <c r="Q58" s="79">
        <f t="shared" si="21"/>
        <v>750</v>
      </c>
      <c r="R58" s="229"/>
      <c r="S58" s="79">
        <f t="shared" si="22"/>
        <v>750</v>
      </c>
      <c r="T58" s="229"/>
      <c r="U58" s="79">
        <f t="shared" si="23"/>
        <v>750</v>
      </c>
      <c r="V58" s="229"/>
      <c r="W58" s="233">
        <f t="shared" si="24"/>
        <v>750</v>
      </c>
      <c r="X58" s="229"/>
      <c r="Y58" s="236">
        <f t="shared" si="26"/>
        <v>787.5</v>
      </c>
      <c r="Z58" s="229"/>
      <c r="AA58" s="73">
        <f t="shared" si="25"/>
        <v>9037.5</v>
      </c>
      <c r="AB58" s="229"/>
    </row>
    <row r="59" spans="1:28" ht="15">
      <c r="A59" s="11" t="s">
        <v>12</v>
      </c>
      <c r="B59" s="264"/>
      <c r="C59" s="79">
        <v>3300</v>
      </c>
      <c r="D59" s="229"/>
      <c r="E59" s="79">
        <f aca="true" t="shared" si="27" ref="E59:E67">+C59</f>
        <v>3300</v>
      </c>
      <c r="F59" s="229"/>
      <c r="G59" s="79">
        <f aca="true" t="shared" si="28" ref="G59:G68">+E59</f>
        <v>3300</v>
      </c>
      <c r="H59" s="229"/>
      <c r="I59" s="79">
        <f aca="true" t="shared" si="29" ref="I59:I68">+G59</f>
        <v>3300</v>
      </c>
      <c r="J59" s="229"/>
      <c r="K59" s="79">
        <f aca="true" t="shared" si="30" ref="K59:K68">+I59</f>
        <v>3300</v>
      </c>
      <c r="L59" s="229"/>
      <c r="M59" s="79">
        <f aca="true" t="shared" si="31" ref="M59:M68">+K59</f>
        <v>3300</v>
      </c>
      <c r="N59" s="229"/>
      <c r="O59" s="79">
        <f aca="true" t="shared" si="32" ref="O59:O68">+M59</f>
        <v>3300</v>
      </c>
      <c r="P59" s="229"/>
      <c r="Q59" s="79">
        <f aca="true" t="shared" si="33" ref="Q59:Q68">+O59</f>
        <v>3300</v>
      </c>
      <c r="R59" s="229"/>
      <c r="S59" s="79">
        <f aca="true" t="shared" si="34" ref="S59:S68">+Q59</f>
        <v>3300</v>
      </c>
      <c r="T59" s="229"/>
      <c r="U59" s="79">
        <f aca="true" t="shared" si="35" ref="U59:U68">+S59</f>
        <v>3300</v>
      </c>
      <c r="V59" s="229"/>
      <c r="W59" s="79">
        <f aca="true" t="shared" si="36" ref="W59:W68">+U59</f>
        <v>3300</v>
      </c>
      <c r="X59" s="229"/>
      <c r="Y59" s="79">
        <f aca="true" t="shared" si="37" ref="Y59:Y68">+W59</f>
        <v>3300</v>
      </c>
      <c r="Z59" s="229"/>
      <c r="AA59" s="73">
        <f t="shared" si="25"/>
        <v>39600</v>
      </c>
      <c r="AB59" s="229"/>
    </row>
    <row r="60" spans="1:28" ht="15">
      <c r="A60" s="11" t="s">
        <v>13</v>
      </c>
      <c r="B60" s="264"/>
      <c r="C60" s="79">
        <v>3000</v>
      </c>
      <c r="D60" s="229"/>
      <c r="E60" s="79">
        <f t="shared" si="27"/>
        <v>3000</v>
      </c>
      <c r="F60" s="229"/>
      <c r="G60" s="79">
        <f t="shared" si="28"/>
        <v>3000</v>
      </c>
      <c r="H60" s="229"/>
      <c r="I60" s="79">
        <f t="shared" si="29"/>
        <v>3000</v>
      </c>
      <c r="J60" s="229"/>
      <c r="K60" s="79">
        <f t="shared" si="30"/>
        <v>3000</v>
      </c>
      <c r="L60" s="229"/>
      <c r="M60" s="79">
        <f t="shared" si="31"/>
        <v>3000</v>
      </c>
      <c r="N60" s="229"/>
      <c r="O60" s="79">
        <f t="shared" si="32"/>
        <v>3000</v>
      </c>
      <c r="P60" s="229"/>
      <c r="Q60" s="79">
        <f t="shared" si="33"/>
        <v>3000</v>
      </c>
      <c r="R60" s="229"/>
      <c r="S60" s="79">
        <f t="shared" si="34"/>
        <v>3000</v>
      </c>
      <c r="T60" s="229"/>
      <c r="U60" s="79">
        <f t="shared" si="35"/>
        <v>3000</v>
      </c>
      <c r="V60" s="229"/>
      <c r="W60" s="79">
        <f t="shared" si="36"/>
        <v>3000</v>
      </c>
      <c r="X60" s="229"/>
      <c r="Y60" s="79">
        <f t="shared" si="37"/>
        <v>3000</v>
      </c>
      <c r="Z60" s="229"/>
      <c r="AA60" s="73">
        <f t="shared" si="25"/>
        <v>36000</v>
      </c>
      <c r="AB60" s="229"/>
    </row>
    <row r="61" spans="1:28" s="225" customFormat="1" ht="15">
      <c r="A61" s="209" t="s">
        <v>87</v>
      </c>
      <c r="B61" s="267"/>
      <c r="C61" s="79">
        <f>+'Dados p  Result.'!C56*1.1</f>
        <v>1100</v>
      </c>
      <c r="D61" s="231"/>
      <c r="E61" s="79">
        <f t="shared" si="27"/>
        <v>1100</v>
      </c>
      <c r="F61" s="231"/>
      <c r="G61" s="79">
        <f t="shared" si="28"/>
        <v>1100</v>
      </c>
      <c r="H61" s="231"/>
      <c r="I61" s="79">
        <f t="shared" si="29"/>
        <v>1100</v>
      </c>
      <c r="J61" s="231"/>
      <c r="K61" s="79">
        <f t="shared" si="30"/>
        <v>1100</v>
      </c>
      <c r="L61" s="231"/>
      <c r="M61" s="79">
        <f t="shared" si="31"/>
        <v>1100</v>
      </c>
      <c r="N61" s="231"/>
      <c r="O61" s="79">
        <f t="shared" si="32"/>
        <v>1100</v>
      </c>
      <c r="P61" s="231"/>
      <c r="Q61" s="79">
        <f t="shared" si="33"/>
        <v>1100</v>
      </c>
      <c r="R61" s="231"/>
      <c r="S61" s="79">
        <f t="shared" si="34"/>
        <v>1100</v>
      </c>
      <c r="T61" s="231"/>
      <c r="U61" s="79">
        <f t="shared" si="35"/>
        <v>1100</v>
      </c>
      <c r="V61" s="231"/>
      <c r="W61" s="79">
        <f t="shared" si="36"/>
        <v>1100</v>
      </c>
      <c r="X61" s="231"/>
      <c r="Y61" s="79">
        <f t="shared" si="37"/>
        <v>1100</v>
      </c>
      <c r="Z61" s="231"/>
      <c r="AA61" s="73">
        <f t="shared" si="25"/>
        <v>13200</v>
      </c>
      <c r="AB61" s="231"/>
    </row>
    <row r="62" spans="1:28" ht="15">
      <c r="A62" s="11" t="s">
        <v>171</v>
      </c>
      <c r="B62" s="264"/>
      <c r="C62" s="79">
        <v>100</v>
      </c>
      <c r="D62" s="229"/>
      <c r="E62" s="79">
        <f t="shared" si="27"/>
        <v>100</v>
      </c>
      <c r="F62" s="231"/>
      <c r="G62" s="79">
        <f t="shared" si="28"/>
        <v>100</v>
      </c>
      <c r="H62" s="231"/>
      <c r="I62" s="79">
        <f t="shared" si="29"/>
        <v>100</v>
      </c>
      <c r="J62" s="231"/>
      <c r="K62" s="79">
        <f t="shared" si="30"/>
        <v>100</v>
      </c>
      <c r="L62" s="231"/>
      <c r="M62" s="79">
        <f t="shared" si="31"/>
        <v>100</v>
      </c>
      <c r="N62" s="231"/>
      <c r="O62" s="79">
        <f t="shared" si="32"/>
        <v>100</v>
      </c>
      <c r="P62" s="231"/>
      <c r="Q62" s="79">
        <f t="shared" si="33"/>
        <v>100</v>
      </c>
      <c r="R62" s="231"/>
      <c r="S62" s="79">
        <f t="shared" si="34"/>
        <v>100</v>
      </c>
      <c r="T62" s="231"/>
      <c r="U62" s="79">
        <f t="shared" si="35"/>
        <v>100</v>
      </c>
      <c r="V62" s="231"/>
      <c r="W62" s="79">
        <f t="shared" si="36"/>
        <v>100</v>
      </c>
      <c r="X62" s="231"/>
      <c r="Y62" s="79">
        <f t="shared" si="37"/>
        <v>100</v>
      </c>
      <c r="Z62" s="231"/>
      <c r="AA62" s="73"/>
      <c r="AB62" s="229"/>
    </row>
    <row r="63" spans="1:28" ht="15">
      <c r="A63" s="11" t="s">
        <v>169</v>
      </c>
      <c r="B63" s="264"/>
      <c r="C63" s="79">
        <v>1000</v>
      </c>
      <c r="D63" s="229"/>
      <c r="E63" s="79">
        <f t="shared" si="27"/>
        <v>1000</v>
      </c>
      <c r="F63" s="231"/>
      <c r="G63" s="79">
        <f t="shared" si="28"/>
        <v>1000</v>
      </c>
      <c r="H63" s="231"/>
      <c r="I63" s="79">
        <f t="shared" si="29"/>
        <v>1000</v>
      </c>
      <c r="J63" s="231"/>
      <c r="K63" s="79">
        <f t="shared" si="30"/>
        <v>1000</v>
      </c>
      <c r="L63" s="231"/>
      <c r="M63" s="79">
        <f t="shared" si="31"/>
        <v>1000</v>
      </c>
      <c r="N63" s="231"/>
      <c r="O63" s="79">
        <f t="shared" si="32"/>
        <v>1000</v>
      </c>
      <c r="P63" s="231"/>
      <c r="Q63" s="79">
        <f t="shared" si="33"/>
        <v>1000</v>
      </c>
      <c r="R63" s="231"/>
      <c r="S63" s="79">
        <f t="shared" si="34"/>
        <v>1000</v>
      </c>
      <c r="T63" s="231"/>
      <c r="U63" s="79">
        <f t="shared" si="35"/>
        <v>1000</v>
      </c>
      <c r="V63" s="231"/>
      <c r="W63" s="79">
        <f t="shared" si="36"/>
        <v>1000</v>
      </c>
      <c r="X63" s="231"/>
      <c r="Y63" s="79">
        <f t="shared" si="37"/>
        <v>1000</v>
      </c>
      <c r="Z63" s="231"/>
      <c r="AA63" s="73"/>
      <c r="AB63" s="229"/>
    </row>
    <row r="64" spans="1:28" ht="15">
      <c r="A64" s="11" t="s">
        <v>168</v>
      </c>
      <c r="B64" s="264"/>
      <c r="C64" s="79">
        <v>3600</v>
      </c>
      <c r="D64" s="229"/>
      <c r="E64" s="79">
        <f t="shared" si="27"/>
        <v>3600</v>
      </c>
      <c r="F64" s="231"/>
      <c r="G64" s="79">
        <f t="shared" si="28"/>
        <v>3600</v>
      </c>
      <c r="H64" s="231"/>
      <c r="I64" s="79">
        <f t="shared" si="29"/>
        <v>3600</v>
      </c>
      <c r="J64" s="231"/>
      <c r="K64" s="79">
        <f t="shared" si="30"/>
        <v>3600</v>
      </c>
      <c r="L64" s="231"/>
      <c r="M64" s="79">
        <f t="shared" si="31"/>
        <v>3600</v>
      </c>
      <c r="N64" s="231"/>
      <c r="O64" s="79">
        <f t="shared" si="32"/>
        <v>3600</v>
      </c>
      <c r="P64" s="231"/>
      <c r="Q64" s="79">
        <f t="shared" si="33"/>
        <v>3600</v>
      </c>
      <c r="R64" s="231"/>
      <c r="S64" s="79">
        <f t="shared" si="34"/>
        <v>3600</v>
      </c>
      <c r="T64" s="231"/>
      <c r="U64" s="79">
        <f t="shared" si="35"/>
        <v>3600</v>
      </c>
      <c r="V64" s="231"/>
      <c r="W64" s="79">
        <f t="shared" si="36"/>
        <v>3600</v>
      </c>
      <c r="X64" s="231"/>
      <c r="Y64" s="79">
        <f t="shared" si="37"/>
        <v>3600</v>
      </c>
      <c r="Z64" s="231"/>
      <c r="AA64" s="73">
        <f t="shared" si="25"/>
        <v>43200</v>
      </c>
      <c r="AB64" s="229"/>
    </row>
    <row r="65" spans="1:28" ht="15">
      <c r="A65" s="11" t="s">
        <v>88</v>
      </c>
      <c r="B65" s="264"/>
      <c r="C65" s="79">
        <v>500</v>
      </c>
      <c r="D65" s="229"/>
      <c r="E65" s="79">
        <f t="shared" si="27"/>
        <v>500</v>
      </c>
      <c r="F65" s="229"/>
      <c r="G65" s="79">
        <f t="shared" si="28"/>
        <v>500</v>
      </c>
      <c r="H65" s="229"/>
      <c r="I65" s="79">
        <f t="shared" si="29"/>
        <v>500</v>
      </c>
      <c r="J65" s="229"/>
      <c r="K65" s="79">
        <f t="shared" si="30"/>
        <v>500</v>
      </c>
      <c r="L65" s="229"/>
      <c r="M65" s="79">
        <f t="shared" si="31"/>
        <v>500</v>
      </c>
      <c r="N65" s="229"/>
      <c r="O65" s="79">
        <f t="shared" si="32"/>
        <v>500</v>
      </c>
      <c r="P65" s="229"/>
      <c r="Q65" s="79">
        <f t="shared" si="33"/>
        <v>500</v>
      </c>
      <c r="R65" s="229"/>
      <c r="S65" s="79">
        <f t="shared" si="34"/>
        <v>500</v>
      </c>
      <c r="T65" s="229"/>
      <c r="U65" s="79">
        <f t="shared" si="35"/>
        <v>500</v>
      </c>
      <c r="V65" s="229"/>
      <c r="W65" s="79">
        <f t="shared" si="36"/>
        <v>500</v>
      </c>
      <c r="X65" s="229"/>
      <c r="Y65" s="79">
        <f t="shared" si="37"/>
        <v>500</v>
      </c>
      <c r="Z65" s="229"/>
      <c r="AA65" s="73">
        <f t="shared" si="25"/>
        <v>6000</v>
      </c>
      <c r="AB65" s="229"/>
    </row>
    <row r="66" spans="1:28" ht="15">
      <c r="A66" s="11" t="s">
        <v>240</v>
      </c>
      <c r="B66" s="264"/>
      <c r="C66" s="79">
        <v>2000</v>
      </c>
      <c r="D66" s="229"/>
      <c r="E66" s="79">
        <f t="shared" si="27"/>
        <v>2000</v>
      </c>
      <c r="F66" s="229"/>
      <c r="G66" s="79">
        <f t="shared" si="28"/>
        <v>2000</v>
      </c>
      <c r="H66" s="229"/>
      <c r="I66" s="79">
        <f t="shared" si="29"/>
        <v>2000</v>
      </c>
      <c r="J66" s="229"/>
      <c r="K66" s="79">
        <f t="shared" si="30"/>
        <v>2000</v>
      </c>
      <c r="L66" s="229"/>
      <c r="M66" s="79">
        <f t="shared" si="31"/>
        <v>2000</v>
      </c>
      <c r="N66" s="229"/>
      <c r="O66" s="79">
        <f t="shared" si="32"/>
        <v>2000</v>
      </c>
      <c r="P66" s="229"/>
      <c r="Q66" s="79">
        <f t="shared" si="33"/>
        <v>2000</v>
      </c>
      <c r="R66" s="229"/>
      <c r="S66" s="79">
        <f t="shared" si="34"/>
        <v>2000</v>
      </c>
      <c r="T66" s="229"/>
      <c r="U66" s="79">
        <f t="shared" si="35"/>
        <v>2000</v>
      </c>
      <c r="V66" s="229"/>
      <c r="W66" s="79">
        <f t="shared" si="36"/>
        <v>2000</v>
      </c>
      <c r="X66" s="229"/>
      <c r="Y66" s="79">
        <f t="shared" si="37"/>
        <v>2000</v>
      </c>
      <c r="Z66" s="229"/>
      <c r="AA66" s="73"/>
      <c r="AB66" s="229"/>
    </row>
    <row r="67" spans="1:28" ht="15">
      <c r="A67" s="11" t="s">
        <v>28</v>
      </c>
      <c r="B67" s="264"/>
      <c r="C67" s="79">
        <v>225</v>
      </c>
      <c r="D67" s="229"/>
      <c r="E67" s="79">
        <f t="shared" si="27"/>
        <v>225</v>
      </c>
      <c r="F67" s="229"/>
      <c r="G67" s="79">
        <f t="shared" si="28"/>
        <v>225</v>
      </c>
      <c r="H67" s="229"/>
      <c r="I67" s="79">
        <f t="shared" si="29"/>
        <v>225</v>
      </c>
      <c r="J67" s="229"/>
      <c r="K67" s="79">
        <f t="shared" si="30"/>
        <v>225</v>
      </c>
      <c r="L67" s="229"/>
      <c r="M67" s="79">
        <f t="shared" si="31"/>
        <v>225</v>
      </c>
      <c r="N67" s="229"/>
      <c r="O67" s="79">
        <f t="shared" si="32"/>
        <v>225</v>
      </c>
      <c r="P67" s="229"/>
      <c r="Q67" s="79">
        <f t="shared" si="33"/>
        <v>225</v>
      </c>
      <c r="R67" s="229"/>
      <c r="S67" s="79">
        <f t="shared" si="34"/>
        <v>225</v>
      </c>
      <c r="T67" s="229"/>
      <c r="U67" s="79">
        <f t="shared" si="35"/>
        <v>225</v>
      </c>
      <c r="V67" s="229"/>
      <c r="W67" s="79">
        <f t="shared" si="36"/>
        <v>225</v>
      </c>
      <c r="X67" s="229"/>
      <c r="Y67" s="79">
        <f t="shared" si="37"/>
        <v>225</v>
      </c>
      <c r="Z67" s="229"/>
      <c r="AA67" s="73">
        <f t="shared" si="25"/>
        <v>2700</v>
      </c>
      <c r="AB67" s="229"/>
    </row>
    <row r="68" spans="1:28" ht="15">
      <c r="A68" s="11" t="s">
        <v>68</v>
      </c>
      <c r="B68" s="264"/>
      <c r="C68" s="79">
        <f>Depreciação!E24</f>
        <v>533.3333333333334</v>
      </c>
      <c r="D68" s="229"/>
      <c r="E68" s="79">
        <f>+C68*1.05</f>
        <v>560.0000000000001</v>
      </c>
      <c r="F68" s="229"/>
      <c r="G68" s="79">
        <f t="shared" si="28"/>
        <v>560.0000000000001</v>
      </c>
      <c r="H68" s="229"/>
      <c r="I68" s="79">
        <f t="shared" si="29"/>
        <v>560.0000000000001</v>
      </c>
      <c r="J68" s="229"/>
      <c r="K68" s="79">
        <f t="shared" si="30"/>
        <v>560.0000000000001</v>
      </c>
      <c r="L68" s="229"/>
      <c r="M68" s="79">
        <f t="shared" si="31"/>
        <v>560.0000000000001</v>
      </c>
      <c r="N68" s="229"/>
      <c r="O68" s="79">
        <f t="shared" si="32"/>
        <v>560.0000000000001</v>
      </c>
      <c r="P68" s="229"/>
      <c r="Q68" s="79">
        <f t="shared" si="33"/>
        <v>560.0000000000001</v>
      </c>
      <c r="R68" s="229"/>
      <c r="S68" s="79">
        <f t="shared" si="34"/>
        <v>560.0000000000001</v>
      </c>
      <c r="T68" s="229"/>
      <c r="U68" s="79">
        <f t="shared" si="35"/>
        <v>560.0000000000001</v>
      </c>
      <c r="V68" s="229"/>
      <c r="W68" s="79">
        <f t="shared" si="36"/>
        <v>560.0000000000001</v>
      </c>
      <c r="X68" s="229"/>
      <c r="Y68" s="79">
        <f t="shared" si="37"/>
        <v>560.0000000000001</v>
      </c>
      <c r="Z68" s="229"/>
      <c r="AA68" s="73">
        <f t="shared" si="25"/>
        <v>6693.333333333334</v>
      </c>
      <c r="AB68" s="229"/>
    </row>
    <row r="69" spans="1:28" ht="15">
      <c r="A69" s="13" t="s">
        <v>5</v>
      </c>
      <c r="B69" s="266"/>
      <c r="C69" s="76">
        <f>SUM(C45:C68)</f>
        <v>47731.497500000005</v>
      </c>
      <c r="D69" s="228"/>
      <c r="E69" s="76">
        <f>SUM(E45:E68)</f>
        <v>47758.16416666667</v>
      </c>
      <c r="F69" s="228"/>
      <c r="G69" s="76">
        <f>SUM(G45:G68)</f>
        <v>47758.16416666667</v>
      </c>
      <c r="H69" s="228"/>
      <c r="I69" s="76">
        <f>SUM(I45:I68)</f>
        <v>47758.16416666667</v>
      </c>
      <c r="J69" s="228"/>
      <c r="K69" s="76">
        <f>SUM(K45:K68)</f>
        <v>47758.16416666667</v>
      </c>
      <c r="L69" s="228"/>
      <c r="M69" s="76">
        <f>SUM(M45:M68)</f>
        <v>47758.16416666667</v>
      </c>
      <c r="N69" s="228"/>
      <c r="O69" s="76">
        <f>SUM(O45:O68)</f>
        <v>47758.16416666667</v>
      </c>
      <c r="P69" s="228"/>
      <c r="Q69" s="76">
        <f>SUM(Q45:Q68)</f>
        <v>47758.16416666667</v>
      </c>
      <c r="R69" s="228"/>
      <c r="S69" s="76">
        <f>SUM(S45:S68)</f>
        <v>47758.16416666667</v>
      </c>
      <c r="T69" s="228"/>
      <c r="U69" s="76">
        <f>SUM(U45:U68)</f>
        <v>47758.16416666667</v>
      </c>
      <c r="V69" s="228"/>
      <c r="W69" s="216">
        <f>SUM(W45:W68)</f>
        <v>47758.16416666667</v>
      </c>
      <c r="X69" s="228"/>
      <c r="Y69" s="237">
        <f>SUM(Y45:Y68)</f>
        <v>49376.822374999996</v>
      </c>
      <c r="Z69" s="228"/>
      <c r="AA69" s="239">
        <f>SUM(AA45:AA68)</f>
        <v>537489.9615416668</v>
      </c>
      <c r="AB69" s="228"/>
    </row>
    <row r="70" spans="1:28" ht="8.25" customHeight="1">
      <c r="A70" s="11"/>
      <c r="B70" s="264"/>
      <c r="C70" s="79"/>
      <c r="D70" s="229"/>
      <c r="E70" s="79"/>
      <c r="F70" s="229"/>
      <c r="G70" s="79"/>
      <c r="H70" s="229"/>
      <c r="I70" s="79"/>
      <c r="J70" s="229"/>
      <c r="K70" s="79"/>
      <c r="L70" s="229"/>
      <c r="M70" s="79"/>
      <c r="N70" s="229"/>
      <c r="O70" s="79"/>
      <c r="P70" s="229"/>
      <c r="Q70" s="79"/>
      <c r="R70" s="229"/>
      <c r="S70" s="79"/>
      <c r="T70" s="229"/>
      <c r="U70" s="79"/>
      <c r="V70" s="229"/>
      <c r="W70" s="233"/>
      <c r="X70" s="229"/>
      <c r="Y70" s="236"/>
      <c r="Z70" s="229"/>
      <c r="AA70" s="236"/>
      <c r="AB70" s="229"/>
    </row>
    <row r="71" spans="1:28" ht="14.25">
      <c r="A71" s="13"/>
      <c r="B71" s="266"/>
      <c r="C71" s="79"/>
      <c r="D71" s="229"/>
      <c r="E71" s="79"/>
      <c r="F71" s="229"/>
      <c r="G71" s="79"/>
      <c r="H71" s="229"/>
      <c r="I71" s="79"/>
      <c r="J71" s="229"/>
      <c r="K71" s="79"/>
      <c r="L71" s="229"/>
      <c r="M71" s="79"/>
      <c r="N71" s="229"/>
      <c r="O71" s="79"/>
      <c r="P71" s="229"/>
      <c r="Q71" s="79"/>
      <c r="R71" s="229"/>
      <c r="S71" s="79"/>
      <c r="T71" s="229"/>
      <c r="U71" s="79"/>
      <c r="V71" s="229"/>
      <c r="W71" s="233"/>
      <c r="X71" s="229"/>
      <c r="Y71" s="236"/>
      <c r="Z71" s="229"/>
      <c r="AA71" s="236"/>
      <c r="AB71" s="229"/>
    </row>
    <row r="72" spans="1:28" ht="15">
      <c r="A72" s="13" t="s">
        <v>4</v>
      </c>
      <c r="B72" s="264"/>
      <c r="C72" s="76"/>
      <c r="D72" s="228"/>
      <c r="E72" s="76"/>
      <c r="F72" s="228"/>
      <c r="G72" s="76"/>
      <c r="H72" s="228"/>
      <c r="I72" s="76"/>
      <c r="J72" s="228"/>
      <c r="K72" s="76"/>
      <c r="L72" s="228"/>
      <c r="M72" s="76"/>
      <c r="N72" s="228"/>
      <c r="O72" s="76"/>
      <c r="P72" s="228"/>
      <c r="Q72" s="76"/>
      <c r="R72" s="228"/>
      <c r="S72" s="76"/>
      <c r="T72" s="228"/>
      <c r="U72" s="76"/>
      <c r="V72" s="228"/>
      <c r="W72" s="216"/>
      <c r="X72" s="228"/>
      <c r="Y72" s="237"/>
      <c r="Z72" s="228"/>
      <c r="AA72" s="226"/>
      <c r="AB72" s="228"/>
    </row>
    <row r="73" spans="1:28" ht="13.5" customHeight="1">
      <c r="A73" s="11" t="s">
        <v>172</v>
      </c>
      <c r="B73" s="264"/>
      <c r="C73" s="79">
        <f>235+256.03+345+388.43+219.61</f>
        <v>1444.0700000000002</v>
      </c>
      <c r="D73" s="228"/>
      <c r="E73" s="76"/>
      <c r="F73" s="228"/>
      <c r="G73" s="76"/>
      <c r="H73" s="228"/>
      <c r="I73" s="76"/>
      <c r="J73" s="228"/>
      <c r="K73" s="76"/>
      <c r="L73" s="228"/>
      <c r="M73" s="76"/>
      <c r="N73" s="228"/>
      <c r="O73" s="76"/>
      <c r="P73" s="228"/>
      <c r="Q73" s="76"/>
      <c r="R73" s="228"/>
      <c r="S73" s="76"/>
      <c r="T73" s="228"/>
      <c r="U73" s="76"/>
      <c r="V73" s="228"/>
      <c r="W73" s="216"/>
      <c r="X73" s="228"/>
      <c r="Y73" s="237"/>
      <c r="Z73" s="228"/>
      <c r="AA73" s="237"/>
      <c r="AB73" s="228"/>
    </row>
    <row r="74" spans="1:28" ht="14.25">
      <c r="A74" s="11" t="s">
        <v>165</v>
      </c>
      <c r="B74" s="266"/>
      <c r="C74" s="79">
        <f>676.52+76.25</f>
        <v>752.77</v>
      </c>
      <c r="D74" s="229"/>
      <c r="E74" s="79"/>
      <c r="F74" s="229"/>
      <c r="G74" s="79"/>
      <c r="H74" s="229"/>
      <c r="I74" s="79"/>
      <c r="J74" s="229"/>
      <c r="K74" s="79"/>
      <c r="L74" s="229"/>
      <c r="M74" s="79"/>
      <c r="N74" s="229"/>
      <c r="O74" s="79"/>
      <c r="P74" s="229"/>
      <c r="Q74" s="79"/>
      <c r="R74" s="229"/>
      <c r="S74" s="79"/>
      <c r="T74" s="229"/>
      <c r="U74" s="79"/>
      <c r="V74" s="229"/>
      <c r="W74" s="233"/>
      <c r="X74" s="229"/>
      <c r="Y74" s="236"/>
      <c r="Z74" s="229"/>
      <c r="AA74" s="236"/>
      <c r="AB74" s="229"/>
    </row>
    <row r="75" spans="1:28" ht="15">
      <c r="A75" s="11" t="s">
        <v>166</v>
      </c>
      <c r="B75" s="264"/>
      <c r="C75" s="79">
        <f>498.78+55.16</f>
        <v>553.9399999999999</v>
      </c>
      <c r="D75" s="229"/>
      <c r="E75" s="79"/>
      <c r="F75" s="229"/>
      <c r="G75" s="79"/>
      <c r="H75" s="229"/>
      <c r="I75" s="79"/>
      <c r="J75" s="229"/>
      <c r="K75" s="79"/>
      <c r="L75" s="229"/>
      <c r="M75" s="79"/>
      <c r="N75" s="229"/>
      <c r="O75" s="79"/>
      <c r="P75" s="229"/>
      <c r="Q75" s="79"/>
      <c r="R75" s="229"/>
      <c r="S75" s="79"/>
      <c r="T75" s="229"/>
      <c r="U75" s="79"/>
      <c r="V75" s="229"/>
      <c r="W75" s="233"/>
      <c r="X75" s="229"/>
      <c r="Y75" s="236"/>
      <c r="Z75" s="229"/>
      <c r="AA75" s="73">
        <f>+Y75+W75+U75+S75+Q75+O75+M75+K75+I75+G75+E75+C75</f>
        <v>553.9399999999999</v>
      </c>
      <c r="AB75" s="229"/>
    </row>
    <row r="76" spans="1:28" ht="15">
      <c r="A76" s="13" t="s">
        <v>5</v>
      </c>
      <c r="B76" s="266"/>
      <c r="C76" s="76">
        <f>SUM(C73:C75)</f>
        <v>2750.78</v>
      </c>
      <c r="D76" s="228"/>
      <c r="E76" s="76">
        <f>SUM(E75:E75)</f>
        <v>0</v>
      </c>
      <c r="F76" s="228"/>
      <c r="G76" s="76">
        <f>SUM(G75:G75)</f>
        <v>0</v>
      </c>
      <c r="H76" s="228"/>
      <c r="I76" s="76">
        <f>SUM(I75:I75)</f>
        <v>0</v>
      </c>
      <c r="J76" s="228"/>
      <c r="K76" s="76">
        <f>SUM(K75:K75)</f>
        <v>0</v>
      </c>
      <c r="L76" s="228"/>
      <c r="M76" s="76">
        <f>SUM(M75:M75)</f>
        <v>0</v>
      </c>
      <c r="N76" s="228"/>
      <c r="O76" s="76">
        <f>SUM(O75:O75)</f>
        <v>0</v>
      </c>
      <c r="P76" s="228"/>
      <c r="Q76" s="76">
        <f>SUM(Q75:Q75)</f>
        <v>0</v>
      </c>
      <c r="R76" s="228"/>
      <c r="S76" s="76">
        <f>SUM(S75:S75)</f>
        <v>0</v>
      </c>
      <c r="T76" s="228"/>
      <c r="U76" s="76">
        <f>SUM(U75:U75)</f>
        <v>0</v>
      </c>
      <c r="V76" s="228"/>
      <c r="W76" s="216">
        <f>SUM(W75:W75)</f>
        <v>0</v>
      </c>
      <c r="X76" s="228"/>
      <c r="Y76" s="237">
        <f>SUM(Y75:Y75)</f>
        <v>0</v>
      </c>
      <c r="Z76" s="228"/>
      <c r="AA76" s="239">
        <f>SUM(AA75:AA75)</f>
        <v>553.9399999999999</v>
      </c>
      <c r="AB76" s="228"/>
    </row>
    <row r="77" spans="1:28" ht="7.5" customHeight="1">
      <c r="A77" s="11"/>
      <c r="B77" s="264"/>
      <c r="C77" s="76"/>
      <c r="D77" s="228"/>
      <c r="E77" s="76"/>
      <c r="F77" s="228"/>
      <c r="G77" s="76"/>
      <c r="H77" s="228"/>
      <c r="I77" s="76"/>
      <c r="J77" s="228"/>
      <c r="K77" s="76"/>
      <c r="L77" s="228"/>
      <c r="M77" s="76"/>
      <c r="N77" s="228"/>
      <c r="O77" s="76"/>
      <c r="P77" s="228"/>
      <c r="Q77" s="76"/>
      <c r="R77" s="228"/>
      <c r="S77" s="76"/>
      <c r="T77" s="228"/>
      <c r="U77" s="76"/>
      <c r="V77" s="228"/>
      <c r="W77" s="216"/>
      <c r="X77" s="228"/>
      <c r="Y77" s="237"/>
      <c r="Z77" s="228"/>
      <c r="AA77" s="237"/>
      <c r="AB77" s="228"/>
    </row>
    <row r="78" spans="1:28" ht="14.25">
      <c r="A78" s="13" t="s">
        <v>8</v>
      </c>
      <c r="B78" s="266"/>
      <c r="C78" s="79"/>
      <c r="D78" s="229"/>
      <c r="E78" s="79"/>
      <c r="F78" s="229"/>
      <c r="G78" s="79"/>
      <c r="H78" s="229"/>
      <c r="I78" s="79"/>
      <c r="J78" s="229"/>
      <c r="K78" s="79"/>
      <c r="L78" s="229"/>
      <c r="M78" s="79"/>
      <c r="N78" s="229"/>
      <c r="O78" s="79"/>
      <c r="P78" s="229"/>
      <c r="Q78" s="79"/>
      <c r="R78" s="229"/>
      <c r="S78" s="79"/>
      <c r="T78" s="229"/>
      <c r="U78" s="79"/>
      <c r="V78" s="229"/>
      <c r="W78" s="233"/>
      <c r="X78" s="229"/>
      <c r="Y78" s="236"/>
      <c r="Z78" s="229"/>
      <c r="AA78" s="236"/>
      <c r="AB78" s="229"/>
    </row>
    <row r="79" spans="1:28" ht="15">
      <c r="A79" s="11" t="s">
        <v>167</v>
      </c>
      <c r="B79" s="264"/>
      <c r="C79" s="212">
        <v>4546.72</v>
      </c>
      <c r="D79" s="231"/>
      <c r="E79" s="212">
        <f>+C79</f>
        <v>4546.72</v>
      </c>
      <c r="F79" s="231"/>
      <c r="G79" s="212">
        <v>0</v>
      </c>
      <c r="H79" s="231"/>
      <c r="I79" s="212">
        <v>0</v>
      </c>
      <c r="J79" s="231"/>
      <c r="K79" s="212">
        <v>0</v>
      </c>
      <c r="L79" s="231"/>
      <c r="M79" s="212">
        <v>0</v>
      </c>
      <c r="N79" s="231"/>
      <c r="O79" s="212">
        <v>0</v>
      </c>
      <c r="P79" s="231"/>
      <c r="Q79" s="212">
        <v>0</v>
      </c>
      <c r="R79" s="231"/>
      <c r="S79" s="212">
        <v>0</v>
      </c>
      <c r="T79" s="231"/>
      <c r="U79" s="212">
        <v>0</v>
      </c>
      <c r="V79" s="231"/>
      <c r="W79" s="235">
        <v>0</v>
      </c>
      <c r="X79" s="228"/>
      <c r="Y79" s="237">
        <v>0</v>
      </c>
      <c r="Z79" s="228"/>
      <c r="AA79" s="73">
        <f>+Y79+W79+U79+S79+Q79+O79+M79+K79+I79+G79+E79+C79</f>
        <v>9093.44</v>
      </c>
      <c r="AB79" s="228"/>
    </row>
    <row r="80" spans="1:28" ht="15">
      <c r="A80" s="11" t="s">
        <v>170</v>
      </c>
      <c r="B80" s="264"/>
      <c r="C80" s="212">
        <f>3495+300</f>
        <v>3795</v>
      </c>
      <c r="D80" s="231"/>
      <c r="E80" s="212">
        <f>+C80</f>
        <v>3795</v>
      </c>
      <c r="F80" s="231"/>
      <c r="G80" s="212">
        <f>+E80</f>
        <v>3795</v>
      </c>
      <c r="H80" s="231"/>
      <c r="I80" s="212">
        <f>+G80</f>
        <v>3795</v>
      </c>
      <c r="J80" s="231"/>
      <c r="K80" s="212">
        <f>+I80</f>
        <v>3795</v>
      </c>
      <c r="L80" s="231"/>
      <c r="M80" s="212">
        <f>+K80</f>
        <v>3795</v>
      </c>
      <c r="N80" s="231"/>
      <c r="O80" s="212">
        <f>+M80</f>
        <v>3795</v>
      </c>
      <c r="P80" s="231"/>
      <c r="Q80" s="212">
        <f>+O80</f>
        <v>3795</v>
      </c>
      <c r="R80" s="231"/>
      <c r="S80" s="212">
        <f>+Q80</f>
        <v>3795</v>
      </c>
      <c r="T80" s="231"/>
      <c r="U80" s="212">
        <f>+S80</f>
        <v>3795</v>
      </c>
      <c r="V80" s="231"/>
      <c r="W80" s="212">
        <f>+U80</f>
        <v>3795</v>
      </c>
      <c r="X80" s="228"/>
      <c r="Y80" s="212">
        <f>+W80</f>
        <v>3795</v>
      </c>
      <c r="Z80" s="228"/>
      <c r="AA80" s="73">
        <f>+Y80+W80+U80+S80+Q80+O80+M80+K80+I80+G80+E80+C80</f>
        <v>45540</v>
      </c>
      <c r="AB80" s="228"/>
    </row>
    <row r="81" spans="1:28" ht="15">
      <c r="A81" s="209"/>
      <c r="B81" s="266"/>
      <c r="C81" s="212"/>
      <c r="D81" s="231"/>
      <c r="E81" s="212"/>
      <c r="F81" s="231"/>
      <c r="G81" s="212"/>
      <c r="H81" s="231"/>
      <c r="I81" s="212"/>
      <c r="J81" s="231"/>
      <c r="K81" s="212"/>
      <c r="L81" s="231"/>
      <c r="M81" s="212"/>
      <c r="N81" s="231"/>
      <c r="O81" s="212"/>
      <c r="P81" s="231"/>
      <c r="Q81" s="212"/>
      <c r="R81" s="231"/>
      <c r="S81" s="212"/>
      <c r="T81" s="231"/>
      <c r="U81" s="212"/>
      <c r="V81" s="231"/>
      <c r="W81" s="235"/>
      <c r="X81" s="228"/>
      <c r="Y81" s="237"/>
      <c r="Z81" s="228"/>
      <c r="AA81" s="73">
        <f>+Y81+W81+U81+S81+Q81+O81+M81+K81+I81+G81+E81+C81</f>
        <v>0</v>
      </c>
      <c r="AB81" s="228"/>
    </row>
    <row r="82" spans="1:28" ht="15">
      <c r="A82" s="13" t="s">
        <v>5</v>
      </c>
      <c r="B82" s="266"/>
      <c r="C82" s="76">
        <f>SUM(C79:C81)</f>
        <v>8341.720000000001</v>
      </c>
      <c r="D82" s="228"/>
      <c r="E82" s="76">
        <f>SUM(E79:E81)</f>
        <v>8341.720000000001</v>
      </c>
      <c r="F82" s="228"/>
      <c r="G82" s="76">
        <f>SUM(G79:G81)</f>
        <v>3795</v>
      </c>
      <c r="H82" s="228"/>
      <c r="I82" s="76">
        <f>SUM(I79:I81)</f>
        <v>3795</v>
      </c>
      <c r="J82" s="228"/>
      <c r="K82" s="76">
        <f>SUM(K79:K81)</f>
        <v>3795</v>
      </c>
      <c r="L82" s="228"/>
      <c r="M82" s="76">
        <f>SUM(M79:M81)</f>
        <v>3795</v>
      </c>
      <c r="N82" s="228"/>
      <c r="O82" s="76">
        <f>SUM(O79:O81)</f>
        <v>3795</v>
      </c>
      <c r="P82" s="228"/>
      <c r="Q82" s="76">
        <f>SUM(Q79:Q81)</f>
        <v>3795</v>
      </c>
      <c r="R82" s="228"/>
      <c r="S82" s="76">
        <f>SUM(S79:S81)</f>
        <v>3795</v>
      </c>
      <c r="T82" s="228"/>
      <c r="U82" s="76">
        <f>SUM(U79:U81)</f>
        <v>3795</v>
      </c>
      <c r="V82" s="228"/>
      <c r="W82" s="76">
        <f>SUM(W79:W81)</f>
        <v>3795</v>
      </c>
      <c r="X82" s="228"/>
      <c r="Y82" s="76">
        <f>SUM(Y79:Y81)</f>
        <v>3795</v>
      </c>
      <c r="Z82" s="228"/>
      <c r="AA82" s="239">
        <f>SUM(AA79:AA81)</f>
        <v>54633.44</v>
      </c>
      <c r="AB82" s="228"/>
    </row>
    <row r="83" spans="1:28" ht="9" customHeight="1">
      <c r="A83" s="11"/>
      <c r="B83" s="264"/>
      <c r="C83" s="76"/>
      <c r="D83" s="228"/>
      <c r="E83" s="76"/>
      <c r="F83" s="228"/>
      <c r="G83" s="76"/>
      <c r="H83" s="228"/>
      <c r="I83" s="76"/>
      <c r="J83" s="228"/>
      <c r="K83" s="76"/>
      <c r="L83" s="228"/>
      <c r="M83" s="76"/>
      <c r="N83" s="228"/>
      <c r="O83" s="76"/>
      <c r="P83" s="228"/>
      <c r="Q83" s="76"/>
      <c r="R83" s="228"/>
      <c r="S83" s="76"/>
      <c r="T83" s="228"/>
      <c r="U83" s="76"/>
      <c r="V83" s="228"/>
      <c r="W83" s="216"/>
      <c r="X83" s="228"/>
      <c r="Y83" s="237"/>
      <c r="Z83" s="228"/>
      <c r="AA83" s="237"/>
      <c r="AB83" s="228"/>
    </row>
    <row r="84" spans="1:28" ht="15">
      <c r="A84" s="13" t="s">
        <v>110</v>
      </c>
      <c r="B84" s="266"/>
      <c r="C84" s="226">
        <f>SUM(C82,C76,C69,C42)</f>
        <v>116823.9975</v>
      </c>
      <c r="D84" s="228"/>
      <c r="E84" s="226">
        <f>SUM(E82,E76,E69,E42,E32,E27)</f>
        <v>77123.66083333334</v>
      </c>
      <c r="F84" s="228"/>
      <c r="G84" s="226">
        <f>SUM(G82,G76,G69,G42,G32,G27)</f>
        <v>72576.94083333334</v>
      </c>
      <c r="H84" s="228"/>
      <c r="I84" s="226">
        <f>SUM(I82,I76,I69,I42,I32,I27)</f>
        <v>72576.94083333334</v>
      </c>
      <c r="J84" s="228"/>
      <c r="K84" s="226">
        <f>SUM(K82,K76,K69,K42,K32,K27)</f>
        <v>72576.94083333334</v>
      </c>
      <c r="L84" s="228"/>
      <c r="M84" s="226">
        <f>SUM(M82,M76,M69,M42,M32,M27)</f>
        <v>72576.94083333334</v>
      </c>
      <c r="N84" s="228"/>
      <c r="O84" s="226">
        <f>SUM(O82,O76,O69,O42,O32,O27)</f>
        <v>72576.94083333334</v>
      </c>
      <c r="P84" s="228"/>
      <c r="Q84" s="226">
        <f>SUM(Q82,Q76,Q69,Q42,Q32,Q27)</f>
        <v>72576.94083333334</v>
      </c>
      <c r="R84" s="228"/>
      <c r="S84" s="226">
        <f>SUM(S82,S76,S69,S42,S32,S27)</f>
        <v>72576.94083333334</v>
      </c>
      <c r="T84" s="228"/>
      <c r="U84" s="226">
        <f>SUM(U82,U76,U69,U42,U32,U27)</f>
        <v>72576.94083333334</v>
      </c>
      <c r="V84" s="228"/>
      <c r="W84" s="226">
        <f>SUM(W82,W76,W69,W42,W32,W27)</f>
        <v>72576.94083333334</v>
      </c>
      <c r="X84" s="228"/>
      <c r="Y84" s="226">
        <f>SUM(Y82,Y76,Y69,Y42,Y32,Y27)</f>
        <v>75246.787875</v>
      </c>
      <c r="Z84" s="228"/>
      <c r="AA84" s="226">
        <f>+Y84+W84+U84+S84+Q84+O84+M84+K84+I84+G84+E84+C84</f>
        <v>922386.9137083334</v>
      </c>
      <c r="AB84" s="228"/>
    </row>
    <row r="85" spans="1:28" ht="15">
      <c r="A85" s="13" t="s">
        <v>116</v>
      </c>
      <c r="B85" s="266"/>
      <c r="C85" s="226">
        <f>C32*0.19</f>
        <v>13870</v>
      </c>
      <c r="D85" s="228"/>
      <c r="E85" s="226">
        <f>E32*0.19</f>
        <v>0</v>
      </c>
      <c r="F85" s="228"/>
      <c r="G85" s="226">
        <f>G32*0.19</f>
        <v>0</v>
      </c>
      <c r="H85" s="228"/>
      <c r="I85" s="226">
        <f>I32*0.19</f>
        <v>0</v>
      </c>
      <c r="J85" s="228"/>
      <c r="K85" s="226">
        <f>K32*0.19</f>
        <v>0</v>
      </c>
      <c r="L85" s="228"/>
      <c r="M85" s="226">
        <f>M32*0.19</f>
        <v>0</v>
      </c>
      <c r="N85" s="228"/>
      <c r="O85" s="226">
        <f>O32*0.19</f>
        <v>0</v>
      </c>
      <c r="P85" s="228"/>
      <c r="Q85" s="226">
        <f>Q32*0.19</f>
        <v>0</v>
      </c>
      <c r="R85" s="228"/>
      <c r="S85" s="226">
        <f>S32*0.19</f>
        <v>0</v>
      </c>
      <c r="T85" s="228"/>
      <c r="U85" s="226">
        <f>U32*0.19</f>
        <v>0</v>
      </c>
      <c r="V85" s="228"/>
      <c r="W85" s="226">
        <f>W32*0.19</f>
        <v>0</v>
      </c>
      <c r="X85" s="228"/>
      <c r="Y85" s="226">
        <f>Y32*0.19</f>
        <v>0</v>
      </c>
      <c r="Z85" s="228"/>
      <c r="AA85" s="226">
        <f>AA32*0.19</f>
        <v>13870</v>
      </c>
      <c r="AB85" s="228"/>
    </row>
    <row r="86" spans="1:28" ht="15.75" thickBot="1">
      <c r="A86" s="240"/>
      <c r="B86" s="268"/>
      <c r="C86" s="280">
        <f>+C84-C85</f>
        <v>102953.9975</v>
      </c>
      <c r="D86" s="241"/>
      <c r="E86" s="280">
        <f>+E84-E85</f>
        <v>77123.66083333334</v>
      </c>
      <c r="F86" s="241"/>
      <c r="G86" s="280">
        <f>+G84-G85</f>
        <v>72576.94083333334</v>
      </c>
      <c r="H86" s="241"/>
      <c r="I86" s="280">
        <f>+I84-I85</f>
        <v>72576.94083333334</v>
      </c>
      <c r="J86" s="241"/>
      <c r="K86" s="280">
        <f>+K84-K85</f>
        <v>72576.94083333334</v>
      </c>
      <c r="L86" s="241"/>
      <c r="M86" s="280">
        <f>+M84-M85</f>
        <v>72576.94083333334</v>
      </c>
      <c r="N86" s="241"/>
      <c r="O86" s="280">
        <f>+O84-O85</f>
        <v>72576.94083333334</v>
      </c>
      <c r="P86" s="241"/>
      <c r="Q86" s="280">
        <f>+Q84-Q85</f>
        <v>72576.94083333334</v>
      </c>
      <c r="R86" s="241"/>
      <c r="S86" s="280">
        <f>+S84-S85</f>
        <v>72576.94083333334</v>
      </c>
      <c r="T86" s="241"/>
      <c r="U86" s="280">
        <f>+U84-U85</f>
        <v>72576.94083333334</v>
      </c>
      <c r="V86" s="241"/>
      <c r="W86" s="280">
        <f>+W84-W85</f>
        <v>72576.94083333334</v>
      </c>
      <c r="X86" s="241"/>
      <c r="Y86" s="280">
        <f>+Y84-Y85</f>
        <v>75246.787875</v>
      </c>
      <c r="Z86" s="241"/>
      <c r="AA86" s="280">
        <f>+AA84-AA85</f>
        <v>908516.9137083334</v>
      </c>
      <c r="AB86" s="241"/>
    </row>
    <row r="89" ht="14.25">
      <c r="D89" s="327"/>
    </row>
  </sheetData>
  <mergeCells count="14">
    <mergeCell ref="Y3:Z3"/>
    <mergeCell ref="AA3:AB3"/>
    <mergeCell ref="A2:AB2"/>
    <mergeCell ref="Q3:R3"/>
    <mergeCell ref="S3:T3"/>
    <mergeCell ref="U3:V3"/>
    <mergeCell ref="W3:X3"/>
    <mergeCell ref="I3:J3"/>
    <mergeCell ref="K3:L3"/>
    <mergeCell ref="M3:N3"/>
    <mergeCell ref="O3:P3"/>
    <mergeCell ref="C3:D3"/>
    <mergeCell ref="E3:F3"/>
    <mergeCell ref="G3:H3"/>
  </mergeCells>
  <printOptions/>
  <pageMargins left="0.17" right="0.17" top="0.21" bottom="0.28" header="0.17" footer="0.17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28"/>
  <sheetViews>
    <sheetView showGridLines="0" zoomScale="75" zoomScaleNormal="75" zoomScaleSheetLayoutView="100" workbookViewId="0" topLeftCell="A1">
      <selection activeCell="C5" sqref="C5"/>
    </sheetView>
  </sheetViews>
  <sheetFormatPr defaultColWidth="9.140625" defaultRowHeight="12.75"/>
  <cols>
    <col min="1" max="1" width="0.9921875" style="1" customWidth="1"/>
    <col min="2" max="2" width="23.00390625" style="6" customWidth="1"/>
    <col min="3" max="3" width="8.8515625" style="87" customWidth="1"/>
    <col min="4" max="4" width="5.28125" style="87" customWidth="1"/>
    <col min="5" max="5" width="9.8515625" style="87" customWidth="1"/>
    <col min="6" max="6" width="5.140625" style="87" customWidth="1"/>
    <col min="7" max="7" width="9.00390625" style="87" customWidth="1"/>
    <col min="8" max="8" width="5.00390625" style="87" customWidth="1"/>
    <col min="9" max="9" width="10.28125" style="87" bestFit="1" customWidth="1"/>
    <col min="10" max="10" width="6.140625" style="87" customWidth="1"/>
    <col min="11" max="11" width="9.421875" style="87" bestFit="1" customWidth="1"/>
    <col min="12" max="12" width="5.00390625" style="87" customWidth="1"/>
    <col min="13" max="13" width="10.421875" style="87" bestFit="1" customWidth="1"/>
    <col min="14" max="14" width="5.28125" style="8" customWidth="1"/>
    <col min="15" max="15" width="9.28125" style="8" bestFit="1" customWidth="1"/>
    <col min="16" max="16" width="5.140625" style="8" customWidth="1"/>
    <col min="17" max="17" width="9.8515625" style="8" customWidth="1"/>
    <col min="18" max="18" width="5.28125" style="8" customWidth="1"/>
    <col min="19" max="19" width="8.57421875" style="8" customWidth="1"/>
    <col min="20" max="20" width="5.140625" style="8" customWidth="1"/>
    <col min="21" max="21" width="9.7109375" style="8" customWidth="1"/>
    <col min="22" max="22" width="5.00390625" style="8" customWidth="1"/>
    <col min="23" max="23" width="8.8515625" style="8" customWidth="1"/>
    <col min="24" max="24" width="5.00390625" style="8" customWidth="1"/>
    <col min="25" max="25" width="9.8515625" style="8" customWidth="1"/>
    <col min="26" max="26" width="5.00390625" style="8" customWidth="1"/>
    <col min="27" max="27" width="11.00390625" style="121" bestFit="1" customWidth="1"/>
    <col min="28" max="28" width="6.00390625" style="8" customWidth="1"/>
    <col min="29" max="16384" width="9.140625" style="1" customWidth="1"/>
  </cols>
  <sheetData>
    <row r="1" ht="9" customHeight="1"/>
    <row r="2" spans="2:28" ht="15.75">
      <c r="B2" s="272" t="s">
        <v>111</v>
      </c>
      <c r="C2" s="86"/>
      <c r="D2" s="86"/>
      <c r="E2" s="114"/>
      <c r="F2" s="114"/>
      <c r="G2" s="114"/>
      <c r="H2" s="86"/>
      <c r="I2" s="114"/>
      <c r="J2" s="114"/>
      <c r="K2" s="114"/>
      <c r="L2" s="86"/>
      <c r="M2" s="114"/>
      <c r="N2" s="115"/>
      <c r="O2" s="115"/>
      <c r="P2" s="7"/>
      <c r="Q2" s="115"/>
      <c r="R2" s="115"/>
      <c r="S2" s="115"/>
      <c r="T2" s="7"/>
      <c r="U2" s="115"/>
      <c r="V2" s="115"/>
      <c r="W2" s="115"/>
      <c r="X2" s="7"/>
      <c r="Y2" s="115"/>
      <c r="Z2" s="115"/>
      <c r="AA2" s="122"/>
      <c r="AB2" s="115"/>
    </row>
    <row r="3" spans="2:28" ht="10.5" customHeight="1" thickBot="1">
      <c r="B3" s="2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2"/>
      <c r="AB3" s="7"/>
    </row>
    <row r="4" spans="2:28" s="9" customFormat="1" ht="13.5" thickBot="1">
      <c r="B4" s="190">
        <v>1</v>
      </c>
      <c r="C4" s="445">
        <v>39083</v>
      </c>
      <c r="D4" s="446"/>
      <c r="E4" s="445">
        <v>39114</v>
      </c>
      <c r="F4" s="446"/>
      <c r="G4" s="445">
        <v>39142</v>
      </c>
      <c r="H4" s="446"/>
      <c r="I4" s="445">
        <v>39173</v>
      </c>
      <c r="J4" s="446"/>
      <c r="K4" s="445">
        <v>39203</v>
      </c>
      <c r="L4" s="446"/>
      <c r="M4" s="445">
        <v>39234</v>
      </c>
      <c r="N4" s="446"/>
      <c r="O4" s="445">
        <v>39264</v>
      </c>
      <c r="P4" s="446"/>
      <c r="Q4" s="445">
        <v>39295</v>
      </c>
      <c r="R4" s="446"/>
      <c r="S4" s="445">
        <v>39326</v>
      </c>
      <c r="T4" s="446"/>
      <c r="U4" s="445">
        <v>39356</v>
      </c>
      <c r="V4" s="446"/>
      <c r="W4" s="445">
        <v>39387</v>
      </c>
      <c r="X4" s="446"/>
      <c r="Y4" s="445">
        <v>39417</v>
      </c>
      <c r="Z4" s="446"/>
      <c r="AA4" s="123" t="s">
        <v>5</v>
      </c>
      <c r="AB4" s="98"/>
    </row>
    <row r="5" spans="2:28" ht="16.5" customHeight="1">
      <c r="B5" s="116" t="s">
        <v>64</v>
      </c>
      <c r="C5" s="99">
        <f>+Previsão!C8</f>
        <v>251836.43487201308</v>
      </c>
      <c r="D5" s="191"/>
      <c r="E5" s="93">
        <f>+Previsão!E8</f>
        <v>34435.88179819898</v>
      </c>
      <c r="F5" s="191">
        <v>1.23</v>
      </c>
      <c r="G5" s="93">
        <f>+Previsão!G8</f>
        <v>34435.88179819898</v>
      </c>
      <c r="H5" s="191">
        <v>1.36</v>
      </c>
      <c r="I5" s="93">
        <f>+Previsão!I8</f>
        <v>34435.88179819898</v>
      </c>
      <c r="J5" s="191">
        <v>1.03</v>
      </c>
      <c r="K5" s="93">
        <f>+Previsão!K8</f>
        <v>34435.88179819898</v>
      </c>
      <c r="L5" s="191">
        <v>1.55</v>
      </c>
      <c r="M5" s="93">
        <f>+Previsão!M8</f>
        <v>34435.88179819898</v>
      </c>
      <c r="N5" s="191">
        <v>1.1</v>
      </c>
      <c r="O5" s="96">
        <f>+Previsão!O8</f>
        <v>34435.88179819898</v>
      </c>
      <c r="P5" s="191">
        <v>1.1</v>
      </c>
      <c r="Q5" s="96">
        <f>+Previsão!Q8</f>
        <v>34435.88179819898</v>
      </c>
      <c r="R5" s="191">
        <v>1.1</v>
      </c>
      <c r="S5" s="96">
        <f>+Previsão!S8</f>
        <v>34435.88179819898</v>
      </c>
      <c r="T5" s="191">
        <v>1.1</v>
      </c>
      <c r="U5" s="96">
        <f>+Previsão!U8</f>
        <v>34435.88179819898</v>
      </c>
      <c r="V5" s="191">
        <v>1.1</v>
      </c>
      <c r="W5" s="96">
        <f>+Previsão!W8</f>
        <v>34435.88179819898</v>
      </c>
      <c r="X5" s="191">
        <v>1.1</v>
      </c>
      <c r="Y5" s="96">
        <f>+Previsão!Y8</f>
        <v>36157.67588810891</v>
      </c>
      <c r="Z5" s="191">
        <v>1.1</v>
      </c>
      <c r="AA5" s="124">
        <f>+Y5+W5+U5+S5+Q5+O5+M5+K5+I5+G5+E5+C5</f>
        <v>632352.9287421118</v>
      </c>
      <c r="AB5" s="191"/>
    </row>
    <row r="6" spans="2:28" ht="16.5" customHeight="1">
      <c r="B6" s="113" t="s">
        <v>113</v>
      </c>
      <c r="C6" s="273">
        <f>((-C5/1.05)*0.7835)+C5</f>
        <v>63918.48561275381</v>
      </c>
      <c r="D6" s="91">
        <f>+C6/$C$5</f>
        <v>0.2538095238095239</v>
      </c>
      <c r="E6" s="273">
        <f>((-E5/1.05)*0.7835)+E5</f>
        <v>8740.154761161932</v>
      </c>
      <c r="F6" s="92">
        <f>+E6/$E$5</f>
        <v>0.2538095238095238</v>
      </c>
      <c r="G6" s="273">
        <f>((-G5/1.05)*0.7835)+G5</f>
        <v>8740.154761161932</v>
      </c>
      <c r="H6" s="91">
        <f>+G6/$G$5</f>
        <v>0.2538095238095238</v>
      </c>
      <c r="I6" s="273">
        <f>((-I5/1.05)*0.7835)+I5</f>
        <v>8740.154761161932</v>
      </c>
      <c r="J6" s="91">
        <f>+I6/$I$5</f>
        <v>0.2538095238095238</v>
      </c>
      <c r="K6" s="273">
        <f>((-K5/1.05)*0.7835)+K5</f>
        <v>8740.154761161932</v>
      </c>
      <c r="L6" s="91">
        <f>+K6/$K$5</f>
        <v>0.2538095238095238</v>
      </c>
      <c r="M6" s="273">
        <f>((-M5/1.05)*0.7835)+M5</f>
        <v>8740.154761161932</v>
      </c>
      <c r="N6" s="91">
        <f>+M6/$M$5</f>
        <v>0.2538095238095238</v>
      </c>
      <c r="O6" s="273">
        <f>((-O5/1.05)*0.7835)+O5</f>
        <v>8740.154761161932</v>
      </c>
      <c r="P6" s="91">
        <f>+O6/$O$5</f>
        <v>0.2538095238095238</v>
      </c>
      <c r="Q6" s="273">
        <f>((-Q5/1.05)*0.7835)+Q5</f>
        <v>8740.154761161932</v>
      </c>
      <c r="R6" s="91">
        <f>+Q6/$Q$5</f>
        <v>0.2538095238095238</v>
      </c>
      <c r="S6" s="273">
        <f>((-S5/1.05)*0.7835)+S5</f>
        <v>8740.154761161932</v>
      </c>
      <c r="T6" s="91">
        <f>+S6/$S$5</f>
        <v>0.2538095238095238</v>
      </c>
      <c r="U6" s="273">
        <f>((-U5/1.05)*0.7835)+U5</f>
        <v>8740.154761161932</v>
      </c>
      <c r="V6" s="91">
        <f>+U6/$U$5</f>
        <v>0.2538095238095238</v>
      </c>
      <c r="W6" s="273">
        <f>((-W5/1.05)*0.7835)+W5</f>
        <v>8740.154761161932</v>
      </c>
      <c r="X6" s="91">
        <f>+W6/$W$5</f>
        <v>0.2538095238095238</v>
      </c>
      <c r="Y6" s="273">
        <f>((-Y5/1.05)*0.7835)+Y5</f>
        <v>9177.162499220023</v>
      </c>
      <c r="Z6" s="91">
        <f>+Y6/$Y$5</f>
        <v>0.2538095238095238</v>
      </c>
      <c r="AA6" s="124">
        <f>+Y6+W6+U6+S6+Q6+O6+M6+K6+I6+G6+E6+C6</f>
        <v>160497.19572359315</v>
      </c>
      <c r="AB6" s="91">
        <f>+AA6/AA5</f>
        <v>0.2538095238095238</v>
      </c>
    </row>
    <row r="7" spans="2:28" ht="16.5" customHeight="1" thickBot="1">
      <c r="B7" s="117" t="s">
        <v>69</v>
      </c>
      <c r="C7" s="196">
        <f>+C5-C6</f>
        <v>187917.94925925927</v>
      </c>
      <c r="D7" s="133"/>
      <c r="E7" s="129">
        <f>+E5-E6</f>
        <v>25695.727037037046</v>
      </c>
      <c r="F7" s="133"/>
      <c r="G7" s="129">
        <f>+G5-G6</f>
        <v>25695.727037037046</v>
      </c>
      <c r="H7" s="133"/>
      <c r="I7" s="129">
        <f>+I5-I6</f>
        <v>25695.727037037046</v>
      </c>
      <c r="J7" s="133"/>
      <c r="K7" s="129">
        <f>+K5-K6</f>
        <v>25695.727037037046</v>
      </c>
      <c r="L7" s="133"/>
      <c r="M7" s="129">
        <f>+M5-M6</f>
        <v>25695.727037037046</v>
      </c>
      <c r="N7" s="133"/>
      <c r="O7" s="129">
        <f>+O5-O6</f>
        <v>25695.727037037046</v>
      </c>
      <c r="P7" s="133"/>
      <c r="Q7" s="129">
        <f>+Q5-Q6</f>
        <v>25695.727037037046</v>
      </c>
      <c r="R7" s="133"/>
      <c r="S7" s="129">
        <f>+S5-S6</f>
        <v>25695.727037037046</v>
      </c>
      <c r="T7" s="133"/>
      <c r="U7" s="129">
        <f>+U5-U6</f>
        <v>25695.727037037046</v>
      </c>
      <c r="V7" s="133"/>
      <c r="W7" s="129">
        <f>+W5-W6</f>
        <v>25695.727037037046</v>
      </c>
      <c r="X7" s="133"/>
      <c r="Y7" s="129">
        <f>+Y5-Y6</f>
        <v>26980.51338888889</v>
      </c>
      <c r="Z7" s="133"/>
      <c r="AA7" s="131">
        <f>+AA5-AA6</f>
        <v>471855.73301851866</v>
      </c>
      <c r="AB7" s="133"/>
    </row>
    <row r="8" spans="2:28" s="3" customFormat="1" ht="8.25" customHeight="1" thickBot="1">
      <c r="B8" s="118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125"/>
      <c r="AB8" s="86"/>
    </row>
    <row r="9" spans="2:28" ht="16.5" customHeight="1">
      <c r="B9" s="116" t="s">
        <v>112</v>
      </c>
      <c r="C9" s="102">
        <f>+Previsão!C32</f>
        <v>73000</v>
      </c>
      <c r="D9" s="103">
        <f>+C9/$C$5</f>
        <v>0.28987068545939215</v>
      </c>
      <c r="E9" s="102">
        <f>+Previsão!E32</f>
        <v>0</v>
      </c>
      <c r="F9" s="104">
        <f>+E9/$E$5</f>
        <v>0</v>
      </c>
      <c r="G9" s="102">
        <f>+Previsão!G32</f>
        <v>0</v>
      </c>
      <c r="H9" s="103">
        <f>+G9/$G$5</f>
        <v>0</v>
      </c>
      <c r="I9" s="102">
        <f>+Previsão!I32</f>
        <v>0</v>
      </c>
      <c r="J9" s="103">
        <f>+I9/$I$5</f>
        <v>0</v>
      </c>
      <c r="K9" s="102">
        <f>+Previsão!K32</f>
        <v>0</v>
      </c>
      <c r="L9" s="103">
        <f>+K9/$K$5</f>
        <v>0</v>
      </c>
      <c r="M9" s="102">
        <f>+Previsão!M32</f>
        <v>0</v>
      </c>
      <c r="N9" s="103">
        <f>+M9/$M$5</f>
        <v>0</v>
      </c>
      <c r="O9" s="102">
        <f>+Previsão!O32</f>
        <v>0</v>
      </c>
      <c r="P9" s="103">
        <f>+O9/$O$5</f>
        <v>0</v>
      </c>
      <c r="Q9" s="102">
        <f>+Previsão!Q32</f>
        <v>0</v>
      </c>
      <c r="R9" s="103">
        <f>+Q9/$Q$5</f>
        <v>0</v>
      </c>
      <c r="S9" s="102">
        <f>+Previsão!S32</f>
        <v>0</v>
      </c>
      <c r="T9" s="103">
        <f>+S9/$S$5</f>
        <v>0</v>
      </c>
      <c r="U9" s="102">
        <f>+Previsão!U32</f>
        <v>0</v>
      </c>
      <c r="V9" s="103">
        <f>+U9/$U$5</f>
        <v>0</v>
      </c>
      <c r="W9" s="102">
        <f>+Previsão!W32</f>
        <v>0</v>
      </c>
      <c r="X9" s="103">
        <f>+W9/$W$5</f>
        <v>0</v>
      </c>
      <c r="Y9" s="102">
        <f>+Previsão!Y32</f>
        <v>0</v>
      </c>
      <c r="Z9" s="103">
        <f>+Y9/$Y$5</f>
        <v>0</v>
      </c>
      <c r="AA9" s="124">
        <f>+Y9+W9+U9+S9+Q9+O9+M9+K9+I9+G9+E9+C9</f>
        <v>73000</v>
      </c>
      <c r="AB9" s="103">
        <f>+AA9/AA5</f>
        <v>0.11544186273512319</v>
      </c>
    </row>
    <row r="10" spans="2:28" ht="9.75" customHeight="1">
      <c r="B10" s="113"/>
      <c r="C10" s="88"/>
      <c r="D10" s="105"/>
      <c r="E10" s="106"/>
      <c r="F10" s="107"/>
      <c r="G10" s="88"/>
      <c r="H10" s="105"/>
      <c r="I10" s="88"/>
      <c r="J10" s="105"/>
      <c r="K10" s="88"/>
      <c r="L10" s="105"/>
      <c r="M10" s="88"/>
      <c r="N10" s="105"/>
      <c r="O10" s="88"/>
      <c r="P10" s="105"/>
      <c r="Q10" s="88"/>
      <c r="R10" s="105"/>
      <c r="S10" s="88"/>
      <c r="T10" s="105"/>
      <c r="U10" s="88"/>
      <c r="V10" s="105"/>
      <c r="W10" s="88"/>
      <c r="X10" s="105"/>
      <c r="Y10" s="88"/>
      <c r="Z10" s="105"/>
      <c r="AA10" s="126"/>
      <c r="AB10" s="105"/>
    </row>
    <row r="11" spans="2:28" s="127" customFormat="1" ht="16.5" customHeight="1" thickBot="1">
      <c r="B11" s="119" t="s">
        <v>85</v>
      </c>
      <c r="C11" s="129">
        <f>+C7-C9</f>
        <v>114917.94925925927</v>
      </c>
      <c r="D11" s="130">
        <f>+C11/C7</f>
        <v>0.6115325848980705</v>
      </c>
      <c r="E11" s="132">
        <f>+E7-E9</f>
        <v>25695.727037037046</v>
      </c>
      <c r="F11" s="130">
        <f>+E11/E7</f>
        <v>1</v>
      </c>
      <c r="G11" s="129">
        <f>+G7-G9</f>
        <v>25695.727037037046</v>
      </c>
      <c r="H11" s="133"/>
      <c r="I11" s="132">
        <f>+I7-I9</f>
        <v>25695.727037037046</v>
      </c>
      <c r="J11" s="130">
        <f>+I11/I7</f>
        <v>1</v>
      </c>
      <c r="K11" s="129">
        <f>+K7-K9</f>
        <v>25695.727037037046</v>
      </c>
      <c r="L11" s="130">
        <f>+K11/K7</f>
        <v>1</v>
      </c>
      <c r="M11" s="132">
        <f>+M7-M9</f>
        <v>25695.727037037046</v>
      </c>
      <c r="N11" s="130">
        <f>+M11/M7</f>
        <v>1</v>
      </c>
      <c r="O11" s="129">
        <f>+O7-O9</f>
        <v>25695.727037037046</v>
      </c>
      <c r="P11" s="130">
        <f>+O11/O7</f>
        <v>1</v>
      </c>
      <c r="Q11" s="132">
        <f>+Q7-Q9</f>
        <v>25695.727037037046</v>
      </c>
      <c r="R11" s="130">
        <f>+Q11/Q7</f>
        <v>1</v>
      </c>
      <c r="S11" s="129">
        <f>+S7-S9</f>
        <v>25695.727037037046</v>
      </c>
      <c r="T11" s="130">
        <f>+S11/S7</f>
        <v>1</v>
      </c>
      <c r="U11" s="132">
        <f>+U7-U9</f>
        <v>25695.727037037046</v>
      </c>
      <c r="V11" s="130">
        <f>+U11/U7</f>
        <v>1</v>
      </c>
      <c r="W11" s="129">
        <f>+W7-W9</f>
        <v>25695.727037037046</v>
      </c>
      <c r="X11" s="130">
        <f>+W11/W7</f>
        <v>1</v>
      </c>
      <c r="Y11" s="132">
        <f>+Y7-Y9</f>
        <v>26980.51338888889</v>
      </c>
      <c r="Z11" s="130">
        <f>+Y11/Y7</f>
        <v>1</v>
      </c>
      <c r="AA11" s="131">
        <f>+AA7-AA9</f>
        <v>398855.73301851866</v>
      </c>
      <c r="AB11" s="130">
        <f>+AA11/AA7</f>
        <v>0.8452916963983671</v>
      </c>
    </row>
    <row r="12" spans="2:28" s="3" customFormat="1" ht="7.5" customHeight="1" thickBot="1">
      <c r="B12" s="120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25"/>
      <c r="AB12" s="7"/>
    </row>
    <row r="13" spans="2:28" ht="16.5" customHeight="1">
      <c r="B13" s="116" t="s">
        <v>6</v>
      </c>
      <c r="C13" s="102">
        <f>+Previsão!C27</f>
        <v>21023.77666666667</v>
      </c>
      <c r="D13" s="104">
        <f>C13/C5</f>
        <v>0.0834818705933129</v>
      </c>
      <c r="E13" s="102">
        <f>+Previsão!E27</f>
        <v>21023.77666666667</v>
      </c>
      <c r="F13" s="104">
        <f>E13/E5</f>
        <v>0.6105194805194804</v>
      </c>
      <c r="G13" s="102">
        <f>+Previsão!G27</f>
        <v>21023.77666666667</v>
      </c>
      <c r="H13" s="104">
        <f>G13/G5</f>
        <v>0.6105194805194804</v>
      </c>
      <c r="I13" s="102">
        <f>+Previsão!I27</f>
        <v>21023.77666666667</v>
      </c>
      <c r="J13" s="104">
        <f>I13/I5</f>
        <v>0.6105194805194804</v>
      </c>
      <c r="K13" s="102">
        <f>+Previsão!K27</f>
        <v>21023.77666666667</v>
      </c>
      <c r="L13" s="104">
        <f>K13/K5</f>
        <v>0.6105194805194804</v>
      </c>
      <c r="M13" s="102">
        <f>+Previsão!M27</f>
        <v>21023.77666666667</v>
      </c>
      <c r="N13" s="108">
        <f>M13/M5</f>
        <v>0.6105194805194804</v>
      </c>
      <c r="O13" s="102">
        <f>+Previsão!O27</f>
        <v>21023.77666666667</v>
      </c>
      <c r="P13" s="108">
        <f>O13/O5</f>
        <v>0.6105194805194804</v>
      </c>
      <c r="Q13" s="102">
        <f>+Previsão!Q27</f>
        <v>21023.77666666667</v>
      </c>
      <c r="R13" s="108">
        <f>Q13/Q5</f>
        <v>0.6105194805194804</v>
      </c>
      <c r="S13" s="102">
        <f>+Previsão!S27</f>
        <v>21023.77666666667</v>
      </c>
      <c r="T13" s="108">
        <f>S13/S5</f>
        <v>0.6105194805194804</v>
      </c>
      <c r="U13" s="102">
        <f>+Previsão!U27</f>
        <v>21023.77666666667</v>
      </c>
      <c r="V13" s="108">
        <f>U13/U5</f>
        <v>0.6105194805194804</v>
      </c>
      <c r="W13" s="102">
        <f>+Previsão!W27</f>
        <v>21023.77666666667</v>
      </c>
      <c r="X13" s="108">
        <f>W13/W5</f>
        <v>0.6105194805194804</v>
      </c>
      <c r="Y13" s="102">
        <f>+Previsão!Y27</f>
        <v>22074.9655</v>
      </c>
      <c r="Z13" s="108">
        <f>Y13/Y5</f>
        <v>0.6105194805194805</v>
      </c>
      <c r="AA13" s="124">
        <f>+Y13+W13+U13+S13+Q13+O13+M13+K13+I13+G13+E13+C13</f>
        <v>253336.50883333338</v>
      </c>
      <c r="AB13" s="197">
        <f>+AA13/$AA$5</f>
        <v>0.4006251846374383</v>
      </c>
    </row>
    <row r="14" spans="2:28" ht="16.5" customHeight="1">
      <c r="B14" s="113" t="s">
        <v>1</v>
      </c>
      <c r="C14" s="93">
        <f>+Previsão!C69</f>
        <v>47731.497500000005</v>
      </c>
      <c r="D14" s="92">
        <f>C14/C5</f>
        <v>0.18953372463463375</v>
      </c>
      <c r="E14" s="93">
        <f>+Previsão!E69</f>
        <v>47758.16416666667</v>
      </c>
      <c r="F14" s="92">
        <f>E14/E5</f>
        <v>1.386872113411786</v>
      </c>
      <c r="G14" s="93">
        <f>+Previsão!G69</f>
        <v>47758.16416666667</v>
      </c>
      <c r="H14" s="92">
        <f>G14/G5</f>
        <v>1.386872113411786</v>
      </c>
      <c r="I14" s="93">
        <f>+Previsão!I69</f>
        <v>47758.16416666667</v>
      </c>
      <c r="J14" s="92">
        <f>I14/I5</f>
        <v>1.386872113411786</v>
      </c>
      <c r="K14" s="93">
        <f>+Previsão!K69</f>
        <v>47758.16416666667</v>
      </c>
      <c r="L14" s="92">
        <f>K14/K5</f>
        <v>1.386872113411786</v>
      </c>
      <c r="M14" s="93">
        <f>+Previsão!M69</f>
        <v>47758.16416666667</v>
      </c>
      <c r="N14" s="95">
        <f>M14/M5</f>
        <v>1.386872113411786</v>
      </c>
      <c r="O14" s="93">
        <f>+Previsão!O69</f>
        <v>47758.16416666667</v>
      </c>
      <c r="P14" s="95">
        <f>O14/O5</f>
        <v>1.386872113411786</v>
      </c>
      <c r="Q14" s="93">
        <f>+Previsão!Q69</f>
        <v>47758.16416666667</v>
      </c>
      <c r="R14" s="95">
        <f>Q14/Q5</f>
        <v>1.386872113411786</v>
      </c>
      <c r="S14" s="93">
        <f>+Previsão!S69</f>
        <v>47758.16416666667</v>
      </c>
      <c r="T14" s="95">
        <f>S14/S5</f>
        <v>1.386872113411786</v>
      </c>
      <c r="U14" s="93">
        <f>+Previsão!U69</f>
        <v>47758.16416666667</v>
      </c>
      <c r="V14" s="95">
        <f>U14/U5</f>
        <v>1.386872113411786</v>
      </c>
      <c r="W14" s="93">
        <f>+Previsão!W69</f>
        <v>47758.16416666667</v>
      </c>
      <c r="X14" s="95">
        <f>W14/W5</f>
        <v>1.386872113411786</v>
      </c>
      <c r="Y14" s="93">
        <f>+Previsão!Y69</f>
        <v>49376.822374999996</v>
      </c>
      <c r="Z14" s="95">
        <f>Y14/Y5</f>
        <v>1.365597239374515</v>
      </c>
      <c r="AA14" s="124">
        <f>+Y14+W14+U14+S14+Q14+O14+M14+K14+I14+G14+E14+C14</f>
        <v>574689.9615416669</v>
      </c>
      <c r="AB14" s="198">
        <f>+AA14/$AA$5</f>
        <v>0.9088120500759771</v>
      </c>
    </row>
    <row r="15" spans="2:28" ht="16.5" customHeight="1">
      <c r="B15" s="120" t="s">
        <v>115</v>
      </c>
      <c r="C15" s="274">
        <f>+C5*0.01</f>
        <v>2518.3643487201307</v>
      </c>
      <c r="D15" s="275"/>
      <c r="E15" s="274">
        <f>+E5*0.01</f>
        <v>344.3588179819898</v>
      </c>
      <c r="F15" s="275"/>
      <c r="G15" s="274">
        <f>+G5*0.01</f>
        <v>344.3588179819898</v>
      </c>
      <c r="H15" s="275"/>
      <c r="I15" s="274">
        <f>+I5*0.01</f>
        <v>344.3588179819898</v>
      </c>
      <c r="J15" s="275"/>
      <c r="K15" s="274">
        <f>+K5*0.01</f>
        <v>344.3588179819898</v>
      </c>
      <c r="L15" s="275"/>
      <c r="M15" s="274">
        <f>+M5*0.01</f>
        <v>344.3588179819898</v>
      </c>
      <c r="N15" s="276"/>
      <c r="O15" s="274">
        <f>+O5*0.01</f>
        <v>344.3588179819898</v>
      </c>
      <c r="P15" s="276"/>
      <c r="Q15" s="274">
        <f>+Q5*0.01</f>
        <v>344.3588179819898</v>
      </c>
      <c r="R15" s="276"/>
      <c r="S15" s="274">
        <f>+S5*0.01</f>
        <v>344.3588179819898</v>
      </c>
      <c r="T15" s="276"/>
      <c r="U15" s="274">
        <f>+U5*0.01</f>
        <v>344.3588179819898</v>
      </c>
      <c r="V15" s="276"/>
      <c r="W15" s="274">
        <f>+W5*0.01</f>
        <v>344.3588179819898</v>
      </c>
      <c r="X15" s="276"/>
      <c r="Y15" s="274">
        <f>+Y5*0.01</f>
        <v>361.5767588810891</v>
      </c>
      <c r="Z15" s="276"/>
      <c r="AA15" s="124">
        <f>+Y15+W15+U15+S15+Q15+O15+M15+K15+I15+G15+E15+C15</f>
        <v>6323.529287421119</v>
      </c>
      <c r="AB15" s="198">
        <f>+AA15/$AA$5</f>
        <v>0.010000000000000002</v>
      </c>
    </row>
    <row r="16" spans="2:28" s="127" customFormat="1" ht="18.75" customHeight="1" thickBot="1">
      <c r="B16" s="5" t="s">
        <v>70</v>
      </c>
      <c r="C16" s="129">
        <f>SUM(C13:C15)</f>
        <v>71273.6385153868</v>
      </c>
      <c r="D16" s="130">
        <f>+C16/C5</f>
        <v>0.28301559522794667</v>
      </c>
      <c r="E16" s="129">
        <f>SUM(E13:E15)</f>
        <v>69126.29965131533</v>
      </c>
      <c r="F16" s="130">
        <f>+E16/E5</f>
        <v>2.0073915939312665</v>
      </c>
      <c r="G16" s="129">
        <f>SUM(G13:G15)</f>
        <v>69126.29965131533</v>
      </c>
      <c r="H16" s="130">
        <f>+G16/G5</f>
        <v>2.0073915939312665</v>
      </c>
      <c r="I16" s="129">
        <f>SUM(I13:I15)</f>
        <v>69126.29965131533</v>
      </c>
      <c r="J16" s="130">
        <f>+I16/I5</f>
        <v>2.0073915939312665</v>
      </c>
      <c r="K16" s="129">
        <f>SUM(K13:K15)</f>
        <v>69126.29965131533</v>
      </c>
      <c r="L16" s="130">
        <f>+K16/K5</f>
        <v>2.0073915939312665</v>
      </c>
      <c r="M16" s="129">
        <f>SUM(M13:M15)</f>
        <v>69126.29965131533</v>
      </c>
      <c r="N16" s="130">
        <f>+M16/M5</f>
        <v>2.0073915939312665</v>
      </c>
      <c r="O16" s="129">
        <f>SUM(O13:O15)</f>
        <v>69126.29965131533</v>
      </c>
      <c r="P16" s="130">
        <f>+O16/O5</f>
        <v>2.0073915939312665</v>
      </c>
      <c r="Q16" s="129">
        <f>SUM(Q13:Q15)</f>
        <v>69126.29965131533</v>
      </c>
      <c r="R16" s="130">
        <f>+Q16/Q5</f>
        <v>2.0073915939312665</v>
      </c>
      <c r="S16" s="129">
        <f>SUM(S13:S15)</f>
        <v>69126.29965131533</v>
      </c>
      <c r="T16" s="130">
        <f>+S16/S5</f>
        <v>2.0073915939312665</v>
      </c>
      <c r="U16" s="129">
        <f>SUM(U13:U15)</f>
        <v>69126.29965131533</v>
      </c>
      <c r="V16" s="130">
        <f>+U16/U5</f>
        <v>2.0073915939312665</v>
      </c>
      <c r="W16" s="129">
        <f>SUM(W13:W15)</f>
        <v>69126.29965131533</v>
      </c>
      <c r="X16" s="130">
        <f>+W16/W5</f>
        <v>2.0073915939312665</v>
      </c>
      <c r="Y16" s="129">
        <f>SUM(Y13:Y15)</f>
        <v>71813.36463388108</v>
      </c>
      <c r="Z16" s="130">
        <f>+Y16/Y5</f>
        <v>1.9861167198939955</v>
      </c>
      <c r="AA16" s="131">
        <f>SUM(AA13:AA14)</f>
        <v>828026.4703750003</v>
      </c>
      <c r="AB16" s="130">
        <f>+AA16/AA5</f>
        <v>1.3094372347134153</v>
      </c>
    </row>
    <row r="17" spans="2:28" s="3" customFormat="1" ht="9.75" customHeight="1" thickBot="1">
      <c r="B17" s="120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25"/>
      <c r="AB17" s="7"/>
    </row>
    <row r="18" spans="2:28" ht="16.5" customHeight="1" thickBot="1">
      <c r="B18" s="128" t="s">
        <v>2</v>
      </c>
      <c r="C18" s="134">
        <f>+C11-C16</f>
        <v>43644.31074387247</v>
      </c>
      <c r="D18" s="135">
        <f>C18/C5</f>
        <v>0.17330419550313733</v>
      </c>
      <c r="E18" s="134">
        <f>+E11-E16</f>
        <v>-43430.57261427829</v>
      </c>
      <c r="F18" s="135">
        <f>E18/E5</f>
        <v>-1.2612011177407902</v>
      </c>
      <c r="G18" s="134">
        <f>+G11-G16</f>
        <v>-43430.57261427829</v>
      </c>
      <c r="H18" s="135">
        <f>G18/G5</f>
        <v>-1.2612011177407902</v>
      </c>
      <c r="I18" s="134">
        <f>+I11-I16</f>
        <v>-43430.57261427829</v>
      </c>
      <c r="J18" s="135">
        <f>I18/I5</f>
        <v>-1.2612011177407902</v>
      </c>
      <c r="K18" s="134">
        <f>+K11-K16</f>
        <v>-43430.57261427829</v>
      </c>
      <c r="L18" s="135">
        <f>K18/K5</f>
        <v>-1.2612011177407902</v>
      </c>
      <c r="M18" s="134">
        <f>+M11-M16</f>
        <v>-43430.57261427829</v>
      </c>
      <c r="N18" s="136">
        <f>M18/M5</f>
        <v>-1.2612011177407902</v>
      </c>
      <c r="O18" s="134">
        <f>+O11-O16</f>
        <v>-43430.57261427829</v>
      </c>
      <c r="P18" s="136">
        <f>O18/O5</f>
        <v>-1.2612011177407902</v>
      </c>
      <c r="Q18" s="134">
        <f>+Q11-Q16</f>
        <v>-43430.57261427829</v>
      </c>
      <c r="R18" s="136">
        <f>Q18/Q5</f>
        <v>-1.2612011177407902</v>
      </c>
      <c r="S18" s="134">
        <f>+S11-S16</f>
        <v>-43430.57261427829</v>
      </c>
      <c r="T18" s="136">
        <f>S18/S5</f>
        <v>-1.2612011177407902</v>
      </c>
      <c r="U18" s="134">
        <f>+U11-U16</f>
        <v>-43430.57261427829</v>
      </c>
      <c r="V18" s="136">
        <f>U18/U5</f>
        <v>-1.2612011177407902</v>
      </c>
      <c r="W18" s="134">
        <f>+W11-W16</f>
        <v>-43430.57261427829</v>
      </c>
      <c r="X18" s="136">
        <f>W18/W5</f>
        <v>-1.2612011177407902</v>
      </c>
      <c r="Y18" s="134">
        <f>+Y11-Y16</f>
        <v>-44832.85124499219</v>
      </c>
      <c r="Z18" s="136">
        <f>Y18/Y5</f>
        <v>-1.2399262437035192</v>
      </c>
      <c r="AA18" s="137">
        <f>C18+E18+G18+I18+K18+M18+O18+Q18+S18+U18+W18+Y18</f>
        <v>-435494.26664390264</v>
      </c>
      <c r="AB18" s="136">
        <f>AA18/AA5</f>
        <v>-0.6886886212580622</v>
      </c>
    </row>
    <row r="19" spans="2:28" s="3" customFormat="1" ht="9.75" customHeight="1" thickBot="1">
      <c r="B19" s="120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25"/>
      <c r="AB19" s="7"/>
    </row>
    <row r="20" spans="2:28" ht="16.5" customHeight="1">
      <c r="B20" s="116" t="s">
        <v>3</v>
      </c>
      <c r="C20" s="102">
        <f>'Dados p  Result.'!C66</f>
        <v>10000</v>
      </c>
      <c r="D20" s="111"/>
      <c r="E20" s="102">
        <f>'Dados p  Result.'!D66</f>
        <v>10000</v>
      </c>
      <c r="F20" s="111"/>
      <c r="G20" s="102">
        <f>'Dados p  Result.'!E66</f>
        <v>10000</v>
      </c>
      <c r="H20" s="111"/>
      <c r="I20" s="102">
        <f>'Dados p  Result.'!F66</f>
        <v>10000</v>
      </c>
      <c r="J20" s="111"/>
      <c r="K20" s="102">
        <f>'Dados p  Result.'!G66</f>
        <v>10000</v>
      </c>
      <c r="L20" s="111"/>
      <c r="M20" s="102">
        <f>'Dados p  Result.'!H66</f>
        <v>10000</v>
      </c>
      <c r="N20" s="112"/>
      <c r="O20" s="109">
        <f>'Dados p  Result.'!I66</f>
        <v>10000</v>
      </c>
      <c r="P20" s="112"/>
      <c r="Q20" s="109">
        <f>'Dados p  Result.'!J66</f>
        <v>10000</v>
      </c>
      <c r="R20" s="112"/>
      <c r="S20" s="109">
        <f>'Dados p  Result.'!K66</f>
        <v>10000</v>
      </c>
      <c r="T20" s="112"/>
      <c r="U20" s="109">
        <f>'Dados p  Result.'!L66</f>
        <v>10000</v>
      </c>
      <c r="V20" s="112"/>
      <c r="W20" s="109">
        <f>'Dados p  Result.'!M66</f>
        <v>10000</v>
      </c>
      <c r="X20" s="112"/>
      <c r="Y20" s="109">
        <f>'Dados p  Result.'!N66</f>
        <v>10000</v>
      </c>
      <c r="Z20" s="112"/>
      <c r="AA20" s="124">
        <f aca="true" t="shared" si="0" ref="AA20:AA25">+Y20+W20+U20+S20+Q20+O20+M20+K20+I20+G20+E20+C20</f>
        <v>120000</v>
      </c>
      <c r="AB20" s="112"/>
    </row>
    <row r="21" spans="2:28" ht="16.5" customHeight="1">
      <c r="B21" s="113" t="s">
        <v>4</v>
      </c>
      <c r="C21" s="93">
        <f>+Previsão!C76</f>
        <v>2750.78</v>
      </c>
      <c r="D21" s="90"/>
      <c r="E21" s="93">
        <f>+Previsão!E76</f>
        <v>0</v>
      </c>
      <c r="F21" s="90"/>
      <c r="G21" s="93">
        <f>+Previsão!G76</f>
        <v>0</v>
      </c>
      <c r="H21" s="90"/>
      <c r="I21" s="93">
        <f>+Previsão!I76</f>
        <v>0</v>
      </c>
      <c r="J21" s="90"/>
      <c r="K21" s="93">
        <f>+Previsão!K76</f>
        <v>0</v>
      </c>
      <c r="L21" s="90"/>
      <c r="M21" s="93">
        <f>+Previsão!M76</f>
        <v>0</v>
      </c>
      <c r="N21" s="94"/>
      <c r="O21" s="93">
        <f>+Previsão!O76</f>
        <v>0</v>
      </c>
      <c r="P21" s="94"/>
      <c r="Q21" s="93">
        <f>+Previsão!Q76</f>
        <v>0</v>
      </c>
      <c r="R21" s="94"/>
      <c r="S21" s="93">
        <f>+Previsão!S76</f>
        <v>0</v>
      </c>
      <c r="T21" s="94"/>
      <c r="U21" s="93">
        <f>+Previsão!U76</f>
        <v>0</v>
      </c>
      <c r="V21" s="94"/>
      <c r="W21" s="93">
        <f>+Previsão!W76</f>
        <v>0</v>
      </c>
      <c r="X21" s="94"/>
      <c r="Y21" s="93">
        <f>+Previsão!Y76</f>
        <v>0</v>
      </c>
      <c r="Z21" s="94"/>
      <c r="AA21" s="124">
        <f t="shared" si="0"/>
        <v>2750.78</v>
      </c>
      <c r="AB21" s="94"/>
    </row>
    <row r="22" spans="2:28" ht="16.5" customHeight="1">
      <c r="B22" s="113" t="s">
        <v>7</v>
      </c>
      <c r="C22" s="93">
        <f>'Dados p  Result.'!C79</f>
        <v>0</v>
      </c>
      <c r="D22" s="90"/>
      <c r="E22" s="93">
        <f>'Dados p  Result.'!D79</f>
        <v>0</v>
      </c>
      <c r="F22" s="90"/>
      <c r="G22" s="93">
        <f>'Dados p  Result.'!E79</f>
        <v>0</v>
      </c>
      <c r="H22" s="90"/>
      <c r="I22" s="93">
        <f>'Dados p  Result.'!F79</f>
        <v>0</v>
      </c>
      <c r="J22" s="90"/>
      <c r="K22" s="93">
        <f>'Dados p  Result.'!G79</f>
        <v>0</v>
      </c>
      <c r="L22" s="90"/>
      <c r="M22" s="93">
        <f>'Dados p  Result.'!H79</f>
        <v>0</v>
      </c>
      <c r="N22" s="94"/>
      <c r="O22" s="96">
        <f>'Dados p  Result.'!I79</f>
        <v>0</v>
      </c>
      <c r="P22" s="94"/>
      <c r="Q22" s="96">
        <f>'Dados p  Result.'!J79</f>
        <v>0</v>
      </c>
      <c r="R22" s="94"/>
      <c r="S22" s="96">
        <f>'Dados p  Result.'!K79</f>
        <v>0</v>
      </c>
      <c r="T22" s="94"/>
      <c r="U22" s="96">
        <f>'Dados p  Result.'!L79</f>
        <v>0</v>
      </c>
      <c r="V22" s="94"/>
      <c r="W22" s="96">
        <f>'Dados p  Result.'!M79</f>
        <v>0</v>
      </c>
      <c r="X22" s="94"/>
      <c r="Y22" s="96">
        <f>'Dados p  Result.'!N79</f>
        <v>0</v>
      </c>
      <c r="Z22" s="94"/>
      <c r="AA22" s="124">
        <f t="shared" si="0"/>
        <v>0</v>
      </c>
      <c r="AB22" s="94"/>
    </row>
    <row r="23" spans="2:28" ht="16.5" customHeight="1">
      <c r="B23" s="113" t="s">
        <v>8</v>
      </c>
      <c r="C23" s="93">
        <f>+Previsão!C79+Previsão!C80</f>
        <v>8341.720000000001</v>
      </c>
      <c r="D23" s="90"/>
      <c r="E23" s="93">
        <f>+Previsão!E79+Previsão!E80</f>
        <v>8341.720000000001</v>
      </c>
      <c r="F23" s="90"/>
      <c r="G23" s="93">
        <f>+Previsão!G79+Previsão!G80</f>
        <v>3795</v>
      </c>
      <c r="H23" s="90"/>
      <c r="I23" s="93">
        <f>+Previsão!I79+Previsão!I80</f>
        <v>3795</v>
      </c>
      <c r="J23" s="90"/>
      <c r="K23" s="93">
        <f>+Previsão!K79+Previsão!K80</f>
        <v>3795</v>
      </c>
      <c r="L23" s="90"/>
      <c r="M23" s="93">
        <f>+Previsão!M79+Previsão!M80</f>
        <v>3795</v>
      </c>
      <c r="N23" s="94"/>
      <c r="O23" s="93">
        <f>+Previsão!O79+Previsão!O80</f>
        <v>3795</v>
      </c>
      <c r="P23" s="94"/>
      <c r="Q23" s="93">
        <f>+Previsão!Q79+Previsão!Q80</f>
        <v>3795</v>
      </c>
      <c r="R23" s="94"/>
      <c r="S23" s="93">
        <f>+Previsão!S79+Previsão!S80</f>
        <v>3795</v>
      </c>
      <c r="T23" s="94"/>
      <c r="U23" s="93">
        <f>+Previsão!U79+Previsão!U80</f>
        <v>3795</v>
      </c>
      <c r="V23" s="94"/>
      <c r="W23" s="93">
        <f>+Previsão!W79+Previsão!W80</f>
        <v>3795</v>
      </c>
      <c r="X23" s="94"/>
      <c r="Y23" s="93">
        <f>+Previsão!Y79+Previsão!Y80</f>
        <v>3795</v>
      </c>
      <c r="Z23" s="94"/>
      <c r="AA23" s="124">
        <f t="shared" si="0"/>
        <v>54633.44</v>
      </c>
      <c r="AB23" s="94"/>
    </row>
    <row r="24" spans="2:28" ht="16.5" customHeight="1">
      <c r="B24" s="113" t="s">
        <v>114</v>
      </c>
      <c r="C24" s="274">
        <f>+Previsão!C39+Previsão!C40</f>
        <v>4500</v>
      </c>
      <c r="D24" s="277"/>
      <c r="E24" s="274">
        <f>+Previsão!E39+Previsão!E40</f>
        <v>0</v>
      </c>
      <c r="F24" s="277"/>
      <c r="G24" s="274">
        <f>+Previsão!G39+Previsão!G40</f>
        <v>0</v>
      </c>
      <c r="H24" s="277"/>
      <c r="I24" s="274">
        <f>+Previsão!I39+Previsão!I40</f>
        <v>0</v>
      </c>
      <c r="J24" s="277"/>
      <c r="K24" s="274">
        <f>+Previsão!K39+Previsão!K40</f>
        <v>0</v>
      </c>
      <c r="L24" s="277"/>
      <c r="M24" s="274">
        <f>+Previsão!M39+Previsão!M40</f>
        <v>0</v>
      </c>
      <c r="N24" s="278"/>
      <c r="O24" s="274">
        <f>+Previsão!O39+Previsão!O40</f>
        <v>0</v>
      </c>
      <c r="P24" s="278"/>
      <c r="Q24" s="274">
        <f>+Previsão!Q39+Previsão!Q40</f>
        <v>0</v>
      </c>
      <c r="R24" s="278"/>
      <c r="S24" s="274">
        <f>+Previsão!S39+Previsão!S40</f>
        <v>0</v>
      </c>
      <c r="T24" s="278"/>
      <c r="U24" s="274">
        <f>+Previsão!U39+Previsão!U40</f>
        <v>0</v>
      </c>
      <c r="V24" s="278"/>
      <c r="W24" s="274">
        <f>+Previsão!W39+Previsão!W40</f>
        <v>0</v>
      </c>
      <c r="X24" s="278"/>
      <c r="Y24" s="274">
        <f>+Previsão!Y39+Previsão!Y40</f>
        <v>0</v>
      </c>
      <c r="Z24" s="278"/>
      <c r="AA24" s="124">
        <f t="shared" si="0"/>
        <v>4500</v>
      </c>
      <c r="AB24" s="278"/>
    </row>
    <row r="25" spans="2:28" ht="16.5" customHeight="1" thickBot="1">
      <c r="B25" s="119" t="s">
        <v>29</v>
      </c>
      <c r="C25" s="101">
        <f>'Dados p  Result.'!C85</f>
        <v>0</v>
      </c>
      <c r="D25" s="100"/>
      <c r="E25" s="101">
        <f>'Dados p  Result.'!D85</f>
        <v>0</v>
      </c>
      <c r="F25" s="100"/>
      <c r="G25" s="101">
        <f>'Dados p  Result.'!E85</f>
        <v>0</v>
      </c>
      <c r="H25" s="100"/>
      <c r="I25" s="101">
        <f>'Dados p  Result.'!F85</f>
        <v>0</v>
      </c>
      <c r="J25" s="100"/>
      <c r="K25" s="101">
        <f>'Dados p  Result.'!G85</f>
        <v>0</v>
      </c>
      <c r="L25" s="100"/>
      <c r="M25" s="101">
        <f>'Dados p  Result.'!H85</f>
        <v>0</v>
      </c>
      <c r="N25" s="138"/>
      <c r="O25" s="110">
        <f>'Dados p  Result.'!I85</f>
        <v>0</v>
      </c>
      <c r="P25" s="138"/>
      <c r="Q25" s="110">
        <f>'Dados p  Result.'!J85</f>
        <v>0</v>
      </c>
      <c r="R25" s="138"/>
      <c r="S25" s="110">
        <f>'Dados p  Result.'!K85</f>
        <v>0</v>
      </c>
      <c r="T25" s="138"/>
      <c r="U25" s="110">
        <f>'Dados p  Result.'!L85</f>
        <v>0</v>
      </c>
      <c r="V25" s="138"/>
      <c r="W25" s="110">
        <f>'Dados p  Result.'!M85</f>
        <v>0</v>
      </c>
      <c r="X25" s="138"/>
      <c r="Y25" s="110">
        <f>'Dados p  Result.'!N85</f>
        <v>0</v>
      </c>
      <c r="Z25" s="138"/>
      <c r="AA25" s="124">
        <f t="shared" si="0"/>
        <v>0</v>
      </c>
      <c r="AB25" s="138"/>
    </row>
    <row r="26" spans="2:28" ht="16.5" customHeight="1">
      <c r="B26" s="144" t="s">
        <v>30</v>
      </c>
      <c r="C26" s="139">
        <f>SUM(C20:C25)</f>
        <v>25592.5</v>
      </c>
      <c r="D26" s="140"/>
      <c r="E26" s="139">
        <f>SUM(E20:E25)</f>
        <v>18341.72</v>
      </c>
      <c r="F26" s="140"/>
      <c r="G26" s="139">
        <f>SUM(G20:G25)</f>
        <v>13795</v>
      </c>
      <c r="H26" s="140"/>
      <c r="I26" s="139">
        <f>SUM(I20:I25)</f>
        <v>13795</v>
      </c>
      <c r="J26" s="140"/>
      <c r="K26" s="139">
        <f>SUM(K20:K25)</f>
        <v>13795</v>
      </c>
      <c r="L26" s="140"/>
      <c r="M26" s="139">
        <f>SUM(M20:M25)</f>
        <v>13795</v>
      </c>
      <c r="N26" s="141"/>
      <c r="O26" s="142">
        <f>SUM(O20:O25)</f>
        <v>13795</v>
      </c>
      <c r="P26" s="141"/>
      <c r="Q26" s="142">
        <f>SUM(Q20:Q25)</f>
        <v>13795</v>
      </c>
      <c r="R26" s="141"/>
      <c r="S26" s="142">
        <f>SUM(S20:S25)</f>
        <v>13795</v>
      </c>
      <c r="T26" s="141"/>
      <c r="U26" s="142">
        <f>SUM(U20:U25)</f>
        <v>13795</v>
      </c>
      <c r="V26" s="141"/>
      <c r="W26" s="142">
        <f>SUM(W20:W25)</f>
        <v>13795</v>
      </c>
      <c r="X26" s="141"/>
      <c r="Y26" s="142">
        <f>SUM(Y20:Y25)</f>
        <v>13795</v>
      </c>
      <c r="Z26" s="141"/>
      <c r="AA26" s="143">
        <f>SUM(AA20:AA25)</f>
        <v>181884.22</v>
      </c>
      <c r="AB26" s="199">
        <f>+AA26/AA5</f>
        <v>0.2876308651907527</v>
      </c>
    </row>
    <row r="27" spans="2:28" ht="5.25" customHeight="1">
      <c r="B27" s="11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26"/>
      <c r="AB27" s="89"/>
    </row>
    <row r="28" spans="2:28" s="127" customFormat="1" ht="16.5" customHeight="1" thickBot="1">
      <c r="B28" s="145" t="s">
        <v>71</v>
      </c>
      <c r="C28" s="147">
        <f>+C18-C26</f>
        <v>18051.81074387247</v>
      </c>
      <c r="D28" s="146"/>
      <c r="E28" s="147">
        <f>+E18-E26</f>
        <v>-61772.29261427829</v>
      </c>
      <c r="F28" s="146"/>
      <c r="G28" s="147">
        <f>+G18-G26</f>
        <v>-57225.57261427829</v>
      </c>
      <c r="H28" s="146"/>
      <c r="I28" s="147">
        <f>+I18-I26</f>
        <v>-57225.57261427829</v>
      </c>
      <c r="J28" s="146"/>
      <c r="K28" s="147">
        <f>+K18-K26</f>
        <v>-57225.57261427829</v>
      </c>
      <c r="L28" s="146"/>
      <c r="M28" s="147">
        <f>+M18-M26</f>
        <v>-57225.57261427829</v>
      </c>
      <c r="N28" s="148"/>
      <c r="O28" s="147">
        <f>+O18-O26</f>
        <v>-57225.57261427829</v>
      </c>
      <c r="P28" s="148"/>
      <c r="Q28" s="147">
        <f>+Q18-Q26</f>
        <v>-57225.57261427829</v>
      </c>
      <c r="R28" s="148"/>
      <c r="S28" s="147">
        <f>+S18-S26</f>
        <v>-57225.57261427829</v>
      </c>
      <c r="T28" s="148"/>
      <c r="U28" s="147">
        <f>+U18-U26</f>
        <v>-57225.57261427829</v>
      </c>
      <c r="V28" s="148"/>
      <c r="W28" s="147">
        <f>+W18-W26</f>
        <v>-57225.57261427829</v>
      </c>
      <c r="X28" s="148"/>
      <c r="Y28" s="147">
        <f>+Y18-Y26</f>
        <v>-58627.85124499219</v>
      </c>
      <c r="Z28" s="148"/>
      <c r="AA28" s="149">
        <f>C28+E28+G28+I28+K28+M28+O28+Q28+S28+U28+W28+Y28</f>
        <v>-617378.4866439026</v>
      </c>
      <c r="AB28" s="148"/>
    </row>
  </sheetData>
  <mergeCells count="12">
    <mergeCell ref="Y4:Z4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</mergeCells>
  <printOptions/>
  <pageMargins left="0.17" right="0.17" top="1" bottom="1" header="0.492125985" footer="0.492125985"/>
  <pageSetup horizontalDpi="300" verticalDpi="300" orientation="landscape" scale="6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.57421875" style="15" customWidth="1"/>
    <col min="2" max="2" width="19.00390625" style="15" customWidth="1"/>
    <col min="3" max="3" width="4.7109375" style="15" customWidth="1"/>
    <col min="4" max="4" width="5.7109375" style="15" customWidth="1"/>
    <col min="5" max="5" width="8.28125" style="15" customWidth="1"/>
    <col min="6" max="6" width="9.421875" style="15" customWidth="1"/>
    <col min="7" max="7" width="7.8515625" style="17" customWidth="1"/>
    <col min="8" max="8" width="2.140625" style="15" customWidth="1"/>
    <col min="9" max="9" width="7.140625" style="325" customWidth="1"/>
    <col min="10" max="10" width="9.140625" style="325" customWidth="1"/>
    <col min="11" max="13" width="9.140625" style="15" customWidth="1"/>
    <col min="14" max="14" width="9.57421875" style="15" bestFit="1" customWidth="1"/>
    <col min="15" max="16384" width="9.140625" style="15" customWidth="1"/>
  </cols>
  <sheetData>
    <row r="1" ht="13.5" thickBot="1"/>
    <row r="2" spans="2:6" ht="13.5" thickBot="1">
      <c r="B2" s="447" t="s">
        <v>73</v>
      </c>
      <c r="C2" s="448"/>
      <c r="D2" s="448"/>
      <c r="E2" s="448"/>
      <c r="F2" s="449"/>
    </row>
    <row r="3" spans="2:6" ht="13.5" thickBot="1">
      <c r="B3" s="204" t="s">
        <v>86</v>
      </c>
      <c r="C3" s="205"/>
      <c r="D3" s="205"/>
      <c r="E3" s="205"/>
      <c r="F3" s="206">
        <f>+'Estrutura de Resultados'!AA5/12</f>
        <v>52696.077395175984</v>
      </c>
    </row>
    <row r="4" spans="2:6" ht="6" customHeight="1">
      <c r="B4" s="201"/>
      <c r="C4" s="202"/>
      <c r="D4" s="202"/>
      <c r="E4" s="202"/>
      <c r="F4" s="203"/>
    </row>
    <row r="5" spans="2:7" ht="12.75">
      <c r="B5" s="173"/>
      <c r="C5" s="2"/>
      <c r="D5" s="2"/>
      <c r="E5" s="2"/>
      <c r="F5" s="200"/>
      <c r="G5" s="279"/>
    </row>
    <row r="6" spans="2:7" ht="12.75">
      <c r="B6" s="173" t="s">
        <v>77</v>
      </c>
      <c r="C6" s="2"/>
      <c r="D6" s="2"/>
      <c r="E6" s="2"/>
      <c r="F6" s="200">
        <f>Previsão!C69</f>
        <v>47731.497500000005</v>
      </c>
      <c r="G6" s="279"/>
    </row>
    <row r="7" spans="2:7" ht="13.5" thickBot="1">
      <c r="B7" s="174" t="s">
        <v>173</v>
      </c>
      <c r="C7" s="4"/>
      <c r="D7" s="4"/>
      <c r="E7" s="4"/>
      <c r="F7" s="175">
        <f>Previsão!C76+Previsão!C82</f>
        <v>11092.500000000002</v>
      </c>
      <c r="G7" s="279"/>
    </row>
    <row r="8" ht="13.5" thickBot="1">
      <c r="F8" s="176">
        <f>SUM(F5:F7)</f>
        <v>58823.997500000005</v>
      </c>
    </row>
    <row r="9" spans="5:9" ht="13.5" thickBot="1">
      <c r="E9" s="16"/>
      <c r="F9" s="18"/>
      <c r="G9" s="20"/>
      <c r="H9" s="19"/>
      <c r="I9" s="326"/>
    </row>
    <row r="10" spans="2:7" ht="89.25" thickBot="1">
      <c r="B10" s="152" t="s">
        <v>72</v>
      </c>
      <c r="C10" s="153" t="s">
        <v>83</v>
      </c>
      <c r="D10" s="153" t="s">
        <v>74</v>
      </c>
      <c r="E10" s="217" t="s">
        <v>76</v>
      </c>
      <c r="F10" s="217" t="s">
        <v>75</v>
      </c>
      <c r="G10" s="217" t="s">
        <v>78</v>
      </c>
    </row>
    <row r="11" spans="2:14" ht="12.75">
      <c r="B11" s="189" t="s">
        <v>31</v>
      </c>
      <c r="C11" s="192"/>
      <c r="D11" s="178">
        <v>0.03</v>
      </c>
      <c r="E11" s="315">
        <f>RH!R14</f>
        <v>4.665772727272728</v>
      </c>
      <c r="F11" s="179">
        <f>($F$8*D11)/22/8</f>
        <v>10.026817755681819</v>
      </c>
      <c r="G11" s="180">
        <f aca="true" t="shared" si="0" ref="G11:G19">+F11+E11</f>
        <v>14.692590482954547</v>
      </c>
      <c r="H11" s="16"/>
      <c r="J11" s="328"/>
      <c r="L11" s="329"/>
      <c r="M11" s="329"/>
      <c r="N11" s="330"/>
    </row>
    <row r="12" spans="2:14" ht="12.75">
      <c r="B12" s="97" t="s">
        <v>32</v>
      </c>
      <c r="C12" s="193"/>
      <c r="D12" s="155">
        <v>0.03</v>
      </c>
      <c r="E12" s="316">
        <f>RH!R15</f>
        <v>5.496113636363637</v>
      </c>
      <c r="F12" s="171">
        <f>($F$8*D12)/(22)/8</f>
        <v>10.026817755681819</v>
      </c>
      <c r="G12" s="177">
        <f t="shared" si="0"/>
        <v>15.522931392045455</v>
      </c>
      <c r="H12" s="16"/>
      <c r="J12" s="328"/>
      <c r="L12" s="329"/>
      <c r="M12" s="329"/>
      <c r="N12" s="330"/>
    </row>
    <row r="13" spans="2:14" ht="12.75">
      <c r="B13" s="150" t="s">
        <v>174</v>
      </c>
      <c r="C13" s="194"/>
      <c r="D13" s="154">
        <v>0.32</v>
      </c>
      <c r="E13" s="317">
        <f>RH!R11</f>
        <v>10.508674242424242</v>
      </c>
      <c r="F13" s="170">
        <f>($F$8*D13)/(22)/8/3</f>
        <v>35.65090757575758</v>
      </c>
      <c r="G13" s="181">
        <f t="shared" si="0"/>
        <v>46.15958181818182</v>
      </c>
      <c r="H13" s="22"/>
      <c r="J13" s="328"/>
      <c r="L13" s="329"/>
      <c r="M13" s="329"/>
      <c r="N13" s="330"/>
    </row>
    <row r="14" spans="2:14" ht="12.75">
      <c r="B14" s="97" t="s">
        <v>33</v>
      </c>
      <c r="C14" s="193"/>
      <c r="D14" s="155">
        <v>0.14</v>
      </c>
      <c r="E14" s="316">
        <f>RH!R4</f>
        <v>8.362045454545454</v>
      </c>
      <c r="F14" s="171">
        <f>($F$8*D14)/(22)/8</f>
        <v>46.79181619318183</v>
      </c>
      <c r="G14" s="177">
        <f t="shared" si="0"/>
        <v>55.15386164772728</v>
      </c>
      <c r="H14" s="16"/>
      <c r="J14" s="328"/>
      <c r="L14" s="329"/>
      <c r="M14" s="329"/>
      <c r="N14" s="330"/>
    </row>
    <row r="15" spans="2:14" ht="12.75">
      <c r="B15" s="150" t="s">
        <v>34</v>
      </c>
      <c r="C15" s="194"/>
      <c r="D15" s="154">
        <v>0.08</v>
      </c>
      <c r="E15" s="317">
        <f>RH!R9</f>
        <v>7.504318181818181</v>
      </c>
      <c r="F15" s="170">
        <f>($F$8*D15)/(22)/8</f>
        <v>26.738180681818186</v>
      </c>
      <c r="G15" s="181">
        <f t="shared" si="0"/>
        <v>34.24249886363637</v>
      </c>
      <c r="H15" s="16"/>
      <c r="J15" s="328"/>
      <c r="L15" s="329"/>
      <c r="M15" s="329"/>
      <c r="N15" s="330"/>
    </row>
    <row r="16" spans="2:14" ht="12.75">
      <c r="B16" s="97" t="s">
        <v>35</v>
      </c>
      <c r="C16" s="193"/>
      <c r="D16" s="155">
        <v>0.07</v>
      </c>
      <c r="E16" s="316">
        <f>RH!R10</f>
        <v>7.002159090909092</v>
      </c>
      <c r="F16" s="171">
        <f>($F$8*D16)/(22)/8</f>
        <v>23.395908096590915</v>
      </c>
      <c r="G16" s="177">
        <f t="shared" si="0"/>
        <v>30.398067187500008</v>
      </c>
      <c r="H16" s="16"/>
      <c r="J16" s="328"/>
      <c r="L16" s="329"/>
      <c r="M16" s="329"/>
      <c r="N16" s="330"/>
    </row>
    <row r="17" spans="2:14" ht="12.75">
      <c r="B17" s="150" t="s">
        <v>36</v>
      </c>
      <c r="C17" s="194"/>
      <c r="D17" s="154">
        <v>0.22</v>
      </c>
      <c r="E17" s="317">
        <f>RH!R7</f>
        <v>10.739857954545455</v>
      </c>
      <c r="F17" s="170">
        <f>($F$8*D17)/(22)/8/2</f>
        <v>36.764998437500005</v>
      </c>
      <c r="G17" s="181">
        <f t="shared" si="0"/>
        <v>47.50485639204546</v>
      </c>
      <c r="H17" s="16"/>
      <c r="J17" s="328"/>
      <c r="L17" s="329"/>
      <c r="M17" s="329"/>
      <c r="N17" s="330"/>
    </row>
    <row r="18" spans="2:14" ht="12.75">
      <c r="B18" s="97" t="s">
        <v>37</v>
      </c>
      <c r="C18" s="193"/>
      <c r="D18" s="155">
        <v>0.06</v>
      </c>
      <c r="E18" s="316">
        <f>RH!R5</f>
        <v>5.382977272727273</v>
      </c>
      <c r="F18" s="171">
        <f>($F$8*D18)/(22)/8</f>
        <v>20.053635511363638</v>
      </c>
      <c r="G18" s="177">
        <f t="shared" si="0"/>
        <v>25.43661278409091</v>
      </c>
      <c r="H18" s="16"/>
      <c r="J18" s="328"/>
      <c r="L18" s="329"/>
      <c r="M18" s="329"/>
      <c r="N18" s="330"/>
    </row>
    <row r="19" spans="2:14" ht="13.5" thickBot="1">
      <c r="B19" s="151" t="s">
        <v>82</v>
      </c>
      <c r="C19" s="195"/>
      <c r="D19" s="156">
        <v>0.05</v>
      </c>
      <c r="E19" s="318">
        <f>RH!R6</f>
        <v>4.582181818181819</v>
      </c>
      <c r="F19" s="172">
        <f>($F$8*D19)/(22)/8</f>
        <v>16.711362926136363</v>
      </c>
      <c r="G19" s="182">
        <f t="shared" si="0"/>
        <v>21.293544744318183</v>
      </c>
      <c r="H19" s="16"/>
      <c r="J19" s="328"/>
      <c r="L19" s="329"/>
      <c r="M19" s="329"/>
      <c r="N19" s="330"/>
    </row>
    <row r="20" spans="4:14" ht="13.5" thickBot="1">
      <c r="D20" s="188">
        <f>SUM(D11:D19)</f>
        <v>1</v>
      </c>
      <c r="E20" s="23"/>
      <c r="F20" s="24"/>
      <c r="H20" s="16"/>
      <c r="J20" s="328"/>
      <c r="N20" s="330"/>
    </row>
    <row r="21" spans="5:10" ht="12.75">
      <c r="E21" s="25"/>
      <c r="H21" s="16"/>
      <c r="J21" s="328"/>
    </row>
    <row r="23" ht="12.75">
      <c r="A23" s="331">
        <v>25000</v>
      </c>
    </row>
  </sheetData>
  <mergeCells count="1">
    <mergeCell ref="B2:F2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9"/>
  <sheetViews>
    <sheetView showGridLines="0" zoomScale="70" zoomScaleNormal="70" workbookViewId="0" topLeftCell="A1">
      <selection activeCell="D20" sqref="D20"/>
    </sheetView>
  </sheetViews>
  <sheetFormatPr defaultColWidth="9.140625" defaultRowHeight="12.75"/>
  <cols>
    <col min="1" max="1" width="0.85546875" style="332" customWidth="1"/>
    <col min="2" max="2" width="1.421875" style="332" customWidth="1"/>
    <col min="3" max="3" width="45.57421875" style="332" customWidth="1"/>
    <col min="4" max="4" width="19.140625" style="332" bestFit="1" customWidth="1"/>
    <col min="5" max="6" width="14.140625" style="332" bestFit="1" customWidth="1"/>
    <col min="7" max="7" width="20.00390625" style="332" customWidth="1"/>
    <col min="8" max="8" width="8.7109375" style="332" customWidth="1"/>
    <col min="9" max="9" width="5.7109375" style="332" customWidth="1"/>
    <col min="10" max="10" width="2.7109375" style="333" bestFit="1" customWidth="1"/>
    <col min="11" max="11" width="1.28515625" style="333" customWidth="1"/>
    <col min="12" max="12" width="3.8515625" style="333" customWidth="1"/>
    <col min="13" max="13" width="20.57421875" style="333" bestFit="1" customWidth="1"/>
    <col min="14" max="14" width="2.8515625" style="333" customWidth="1"/>
    <col min="15" max="15" width="10.00390625" style="333" bestFit="1" customWidth="1"/>
    <col min="16" max="16" width="8.28125" style="333" customWidth="1"/>
    <col min="17" max="17" width="1.28515625" style="333" customWidth="1"/>
    <col min="18" max="16384" width="9.140625" style="333" customWidth="1"/>
  </cols>
  <sheetData>
    <row r="1" ht="5.25" customHeight="1" thickBot="1"/>
    <row r="2" spans="2:17" ht="6.75" customHeight="1" thickBot="1" thickTop="1">
      <c r="B2" s="334"/>
      <c r="C2" s="335"/>
      <c r="D2" s="335"/>
      <c r="E2" s="335"/>
      <c r="F2" s="335"/>
      <c r="G2" s="335"/>
      <c r="H2" s="335"/>
      <c r="I2" s="335"/>
      <c r="J2" s="336"/>
      <c r="K2" s="337"/>
      <c r="L2" s="337"/>
      <c r="M2" s="337"/>
      <c r="N2" s="337"/>
      <c r="O2" s="337"/>
      <c r="P2" s="337"/>
      <c r="Q2" s="338"/>
    </row>
    <row r="3" spans="1:17" ht="16.5" customHeight="1" thickBot="1" thickTop="1">
      <c r="A3" s="339"/>
      <c r="B3" s="340"/>
      <c r="C3" s="510" t="s">
        <v>25</v>
      </c>
      <c r="D3" s="511"/>
      <c r="E3" s="511"/>
      <c r="F3" s="512" t="s">
        <v>181</v>
      </c>
      <c r="G3" s="512"/>
      <c r="H3" s="492">
        <f>SUM(G15:I25)</f>
        <v>0</v>
      </c>
      <c r="I3" s="493"/>
      <c r="J3" s="341"/>
      <c r="K3" s="513" t="s">
        <v>182</v>
      </c>
      <c r="L3" s="514"/>
      <c r="M3" s="514"/>
      <c r="N3" s="515"/>
      <c r="O3" s="342"/>
      <c r="P3" s="342"/>
      <c r="Q3" s="343"/>
    </row>
    <row r="4" spans="1:17" ht="15" customHeight="1" thickBot="1">
      <c r="A4" s="339"/>
      <c r="B4" s="340"/>
      <c r="C4" s="339"/>
      <c r="D4" s="339"/>
      <c r="E4" s="339"/>
      <c r="F4" s="489" t="s">
        <v>183</v>
      </c>
      <c r="G4" s="489"/>
      <c r="H4" s="492">
        <f>SUM(G29:G38)</f>
        <v>0</v>
      </c>
      <c r="I4" s="493"/>
      <c r="J4" s="341"/>
      <c r="K4" s="344"/>
      <c r="L4" s="341"/>
      <c r="M4" s="341"/>
      <c r="N4" s="345"/>
      <c r="O4" s="341"/>
      <c r="P4" s="341"/>
      <c r="Q4" s="343"/>
    </row>
    <row r="5" spans="1:17" ht="15" customHeight="1" thickBot="1">
      <c r="A5" s="339"/>
      <c r="B5" s="340"/>
      <c r="C5" s="494"/>
      <c r="D5" s="495"/>
      <c r="E5" s="496"/>
      <c r="F5" s="488" t="s">
        <v>184</v>
      </c>
      <c r="G5" s="489"/>
      <c r="H5" s="492">
        <f>+H3+H4</f>
        <v>0</v>
      </c>
      <c r="I5" s="493"/>
      <c r="J5" s="341"/>
      <c r="K5" s="344"/>
      <c r="L5" s="484">
        <f>SUM(H29:H38)</f>
        <v>0</v>
      </c>
      <c r="M5" s="485"/>
      <c r="N5" s="345"/>
      <c r="O5" s="341"/>
      <c r="P5" s="341"/>
      <c r="Q5" s="343"/>
    </row>
    <row r="6" spans="1:17" ht="16.5" thickBot="1">
      <c r="A6" s="339"/>
      <c r="B6" s="340"/>
      <c r="C6" s="497"/>
      <c r="D6" s="498"/>
      <c r="E6" s="499"/>
      <c r="F6" s="346"/>
      <c r="G6" s="346"/>
      <c r="H6" s="339"/>
      <c r="I6" s="339"/>
      <c r="J6" s="341"/>
      <c r="K6" s="344"/>
      <c r="L6" s="486">
        <f>+L4+L5</f>
        <v>0</v>
      </c>
      <c r="M6" s="487"/>
      <c r="N6" s="345"/>
      <c r="O6" s="341"/>
      <c r="P6" s="341"/>
      <c r="Q6" s="343"/>
    </row>
    <row r="7" spans="1:17" ht="18.75" thickBot="1">
      <c r="A7" s="339"/>
      <c r="B7" s="340"/>
      <c r="C7" s="500"/>
      <c r="D7" s="501"/>
      <c r="E7" s="502"/>
      <c r="F7" s="488" t="s">
        <v>185</v>
      </c>
      <c r="G7" s="489"/>
      <c r="H7" s="490"/>
      <c r="I7" s="491"/>
      <c r="J7" s="341"/>
      <c r="K7" s="344"/>
      <c r="L7" s="339"/>
      <c r="M7" s="339"/>
      <c r="N7" s="345"/>
      <c r="O7" s="341"/>
      <c r="P7" s="341"/>
      <c r="Q7" s="343"/>
    </row>
    <row r="8" spans="1:17" ht="21" thickBot="1">
      <c r="A8" s="339"/>
      <c r="B8" s="340"/>
      <c r="C8" s="500"/>
      <c r="D8" s="501"/>
      <c r="E8" s="502"/>
      <c r="F8" s="506"/>
      <c r="G8" s="507"/>
      <c r="H8" s="508">
        <f>+H5*H7+H5</f>
        <v>0</v>
      </c>
      <c r="I8" s="509"/>
      <c r="J8" s="341"/>
      <c r="K8" s="344"/>
      <c r="L8" s="477"/>
      <c r="M8" s="478"/>
      <c r="N8" s="345"/>
      <c r="O8" s="341"/>
      <c r="Q8" s="343"/>
    </row>
    <row r="9" spans="1:17" ht="20.25">
      <c r="A9" s="339"/>
      <c r="B9" s="340"/>
      <c r="C9" s="500"/>
      <c r="D9" s="501"/>
      <c r="E9" s="502"/>
      <c r="F9" s="349"/>
      <c r="G9" s="348"/>
      <c r="H9" s="53"/>
      <c r="I9" s="53"/>
      <c r="J9" s="341"/>
      <c r="K9" s="344"/>
      <c r="L9" s="479">
        <f>+L6*L8+L6</f>
        <v>0</v>
      </c>
      <c r="M9" s="480"/>
      <c r="N9" s="345"/>
      <c r="O9" s="341"/>
      <c r="Q9" s="343"/>
    </row>
    <row r="10" spans="1:17" ht="4.5" customHeight="1" thickBot="1">
      <c r="A10" s="339"/>
      <c r="B10" s="340"/>
      <c r="C10" s="503"/>
      <c r="D10" s="504"/>
      <c r="E10" s="505"/>
      <c r="F10" s="347"/>
      <c r="G10" s="350"/>
      <c r="H10" s="481"/>
      <c r="I10" s="481"/>
      <c r="J10" s="341"/>
      <c r="K10" s="352"/>
      <c r="L10" s="353"/>
      <c r="M10" s="353"/>
      <c r="N10" s="354"/>
      <c r="O10" s="341"/>
      <c r="P10" s="341"/>
      <c r="Q10" s="343"/>
    </row>
    <row r="11" spans="1:17" ht="9" customHeight="1">
      <c r="A11" s="339"/>
      <c r="B11" s="340"/>
      <c r="C11" s="355"/>
      <c r="D11" s="355"/>
      <c r="E11" s="355"/>
      <c r="F11" s="348"/>
      <c r="G11" s="350"/>
      <c r="H11" s="351"/>
      <c r="I11" s="351"/>
      <c r="J11" s="341"/>
      <c r="K11" s="341"/>
      <c r="L11" s="341"/>
      <c r="M11" s="341"/>
      <c r="N11" s="341"/>
      <c r="O11" s="341"/>
      <c r="P11" s="341"/>
      <c r="Q11" s="343"/>
    </row>
    <row r="12" spans="2:17" ht="15.75" customHeight="1" thickBot="1">
      <c r="B12" s="340"/>
      <c r="C12" s="339"/>
      <c r="D12" s="339"/>
      <c r="E12" s="339"/>
      <c r="F12" s="339"/>
      <c r="G12" s="339"/>
      <c r="H12" s="339"/>
      <c r="I12" s="339"/>
      <c r="J12" s="341"/>
      <c r="K12" s="341"/>
      <c r="L12" s="482" t="s">
        <v>186</v>
      </c>
      <c r="M12" s="483"/>
      <c r="N12" s="341"/>
      <c r="O12" s="341"/>
      <c r="P12" s="341"/>
      <c r="Q12" s="343"/>
    </row>
    <row r="13" spans="1:17" ht="15.75" customHeight="1" thickBot="1">
      <c r="A13" s="356"/>
      <c r="B13" s="357"/>
      <c r="C13" s="358" t="s">
        <v>79</v>
      </c>
      <c r="D13" s="359" t="str">
        <f>IF(C14=1,"CUSTO NOVO","CUSTO ANTIGO")</f>
        <v>CUSTO ANTIGO</v>
      </c>
      <c r="E13" s="358" t="s">
        <v>187</v>
      </c>
      <c r="F13" s="360" t="s">
        <v>188</v>
      </c>
      <c r="G13" s="463" t="s">
        <v>189</v>
      </c>
      <c r="H13" s="464"/>
      <c r="I13" s="465"/>
      <c r="J13" s="341"/>
      <c r="K13" s="341"/>
      <c r="L13" s="466">
        <f>L9+H8</f>
        <v>0</v>
      </c>
      <c r="M13" s="467"/>
      <c r="N13" s="341"/>
      <c r="O13" s="341"/>
      <c r="P13" s="341"/>
      <c r="Q13" s="343"/>
    </row>
    <row r="14" spans="1:17" ht="15" customHeight="1" thickBot="1">
      <c r="A14" s="356"/>
      <c r="B14" s="357"/>
      <c r="C14" s="361"/>
      <c r="D14" s="362"/>
      <c r="E14" s="363" t="s">
        <v>81</v>
      </c>
      <c r="F14" s="364" t="s">
        <v>81</v>
      </c>
      <c r="G14" s="468" t="s">
        <v>80</v>
      </c>
      <c r="H14" s="469"/>
      <c r="I14" s="470"/>
      <c r="J14" s="341"/>
      <c r="K14" s="341"/>
      <c r="L14" s="341"/>
      <c r="M14" s="341"/>
      <c r="N14" s="341"/>
      <c r="O14" s="341"/>
      <c r="P14" s="341"/>
      <c r="Q14" s="343"/>
    </row>
    <row r="15" spans="1:17" ht="16.5" thickBot="1">
      <c r="A15" s="356"/>
      <c r="B15" s="357"/>
      <c r="C15" s="365" t="s">
        <v>31</v>
      </c>
      <c r="D15" s="429">
        <f>'Mão de Obra'!G11</f>
        <v>14.692590482954547</v>
      </c>
      <c r="E15" s="366"/>
      <c r="F15" s="367"/>
      <c r="G15" s="471">
        <f aca="true" t="shared" si="0" ref="G15:G25">IF(E15&gt;0,(E15+F15+H15)/60*D15,IF(F15&gt;0,(E15+F15+H15)/60*D15,""))</f>
      </c>
      <c r="H15" s="472"/>
      <c r="I15" s="473"/>
      <c r="J15" s="341"/>
      <c r="K15" s="341"/>
      <c r="L15" s="474" t="s">
        <v>190</v>
      </c>
      <c r="M15" s="475"/>
      <c r="N15" s="475"/>
      <c r="O15" s="476"/>
      <c r="P15" s="368" t="s">
        <v>191</v>
      </c>
      <c r="Q15" s="343"/>
    </row>
    <row r="16" spans="1:17" ht="15.75">
      <c r="A16" s="356"/>
      <c r="B16" s="357"/>
      <c r="C16" s="369" t="s">
        <v>32</v>
      </c>
      <c r="D16" s="430">
        <f>'Mão de Obra'!G12</f>
        <v>15.522931392045455</v>
      </c>
      <c r="E16" s="187"/>
      <c r="F16" s="371"/>
      <c r="G16" s="451">
        <f t="shared" si="0"/>
      </c>
      <c r="H16" s="456"/>
      <c r="I16" s="457"/>
      <c r="J16" s="341"/>
      <c r="K16" s="341"/>
      <c r="L16" s="372" t="s">
        <v>192</v>
      </c>
      <c r="M16" s="373" t="s">
        <v>193</v>
      </c>
      <c r="N16" s="373"/>
      <c r="O16" s="374">
        <f>L13</f>
        <v>0</v>
      </c>
      <c r="P16" s="375"/>
      <c r="Q16" s="343"/>
    </row>
    <row r="17" spans="1:17" ht="15.75">
      <c r="A17" s="356"/>
      <c r="B17" s="357"/>
      <c r="C17" s="369" t="s">
        <v>174</v>
      </c>
      <c r="D17" s="430">
        <f>'Mão de Obra'!G13</f>
        <v>46.15958181818182</v>
      </c>
      <c r="E17" s="187"/>
      <c r="F17" s="371"/>
      <c r="G17" s="451">
        <f t="shared" si="0"/>
      </c>
      <c r="H17" s="456"/>
      <c r="I17" s="457"/>
      <c r="J17" s="341"/>
      <c r="K17" s="341"/>
      <c r="L17" s="376" t="s">
        <v>194</v>
      </c>
      <c r="M17" s="377" t="s">
        <v>195</v>
      </c>
      <c r="N17" s="377"/>
      <c r="O17" s="378">
        <f>O16*P17-O16</f>
        <v>0</v>
      </c>
      <c r="P17" s="379">
        <v>0.7835</v>
      </c>
      <c r="Q17" s="343"/>
    </row>
    <row r="18" spans="1:17" ht="15.75">
      <c r="A18" s="356"/>
      <c r="B18" s="357"/>
      <c r="C18" s="369" t="s">
        <v>33</v>
      </c>
      <c r="D18" s="430">
        <f>'Mão de Obra'!G14</f>
        <v>55.15386164772728</v>
      </c>
      <c r="E18" s="187"/>
      <c r="F18" s="371"/>
      <c r="G18" s="451">
        <f t="shared" si="0"/>
      </c>
      <c r="H18" s="456"/>
      <c r="I18" s="457"/>
      <c r="J18" s="341"/>
      <c r="K18" s="341"/>
      <c r="L18" s="380" t="s">
        <v>196</v>
      </c>
      <c r="M18" s="381" t="s">
        <v>197</v>
      </c>
      <c r="N18" s="377"/>
      <c r="O18" s="382">
        <f>O16+O17</f>
        <v>0</v>
      </c>
      <c r="P18" s="379"/>
      <c r="Q18" s="343"/>
    </row>
    <row r="19" spans="1:17" ht="15.75">
      <c r="A19" s="356"/>
      <c r="B19" s="357"/>
      <c r="C19" s="369" t="s">
        <v>34</v>
      </c>
      <c r="D19" s="430">
        <f>'Mão de Obra'!G15</f>
        <v>34.24249886363637</v>
      </c>
      <c r="E19" s="371"/>
      <c r="F19" s="371"/>
      <c r="G19" s="451">
        <f t="shared" si="0"/>
      </c>
      <c r="H19" s="456"/>
      <c r="I19" s="457"/>
      <c r="J19" s="341"/>
      <c r="K19" s="341"/>
      <c r="L19" s="376" t="s">
        <v>194</v>
      </c>
      <c r="M19" s="377" t="s">
        <v>198</v>
      </c>
      <c r="N19" s="377"/>
      <c r="O19" s="378">
        <f>-O16*P19</f>
        <v>0</v>
      </c>
      <c r="P19" s="383"/>
      <c r="Q19" s="343"/>
    </row>
    <row r="20" spans="1:17" ht="15.75">
      <c r="A20" s="356"/>
      <c r="B20" s="357"/>
      <c r="C20" s="369" t="s">
        <v>35</v>
      </c>
      <c r="D20" s="430">
        <f>'Mão de Obra'!G16</f>
        <v>30.398067187500008</v>
      </c>
      <c r="E20" s="371"/>
      <c r="F20" s="371"/>
      <c r="G20" s="451">
        <f t="shared" si="0"/>
      </c>
      <c r="H20" s="456"/>
      <c r="I20" s="457"/>
      <c r="J20" s="341"/>
      <c r="K20" s="341"/>
      <c r="L20" s="376" t="s">
        <v>194</v>
      </c>
      <c r="M20" s="377" t="s">
        <v>199</v>
      </c>
      <c r="N20" s="377"/>
      <c r="O20" s="378">
        <f>-H5-L6</f>
        <v>0</v>
      </c>
      <c r="P20" s="379"/>
      <c r="Q20" s="343"/>
    </row>
    <row r="21" spans="1:17" ht="15.75">
      <c r="A21" s="356"/>
      <c r="B21" s="357"/>
      <c r="C21" s="369" t="s">
        <v>36</v>
      </c>
      <c r="D21" s="430">
        <f>'Mão de Obra'!G17</f>
        <v>47.50485639204546</v>
      </c>
      <c r="E21" s="371"/>
      <c r="F21" s="371"/>
      <c r="G21" s="451">
        <f t="shared" si="0"/>
      </c>
      <c r="H21" s="456"/>
      <c r="I21" s="457"/>
      <c r="J21" s="341"/>
      <c r="K21" s="341"/>
      <c r="L21" s="380" t="s">
        <v>196</v>
      </c>
      <c r="M21" s="381" t="s">
        <v>200</v>
      </c>
      <c r="N21" s="377"/>
      <c r="O21" s="382">
        <f>O18+O19+O20</f>
        <v>0</v>
      </c>
      <c r="P21" s="379"/>
      <c r="Q21" s="343"/>
    </row>
    <row r="22" spans="1:17" ht="15.75">
      <c r="A22" s="356"/>
      <c r="B22" s="357"/>
      <c r="C22" s="369" t="s">
        <v>37</v>
      </c>
      <c r="D22" s="430">
        <f>'Mão de Obra'!G18</f>
        <v>25.43661278409091</v>
      </c>
      <c r="E22" s="371"/>
      <c r="F22" s="371"/>
      <c r="G22" s="451">
        <f t="shared" si="0"/>
      </c>
      <c r="H22" s="456"/>
      <c r="I22" s="457"/>
      <c r="J22" s="341"/>
      <c r="K22" s="341"/>
      <c r="L22" s="376" t="s">
        <v>194</v>
      </c>
      <c r="M22" s="377" t="s">
        <v>201</v>
      </c>
      <c r="N22" s="377"/>
      <c r="O22" s="378">
        <f>-O16*P22</f>
        <v>0</v>
      </c>
      <c r="P22" s="384">
        <v>0.2</v>
      </c>
      <c r="Q22" s="343"/>
    </row>
    <row r="23" spans="1:17" ht="16.5" thickBot="1">
      <c r="A23" s="356"/>
      <c r="B23" s="357"/>
      <c r="C23" s="369" t="s">
        <v>82</v>
      </c>
      <c r="D23" s="430">
        <f>'Mão de Obra'!G19</f>
        <v>21.293544744318183</v>
      </c>
      <c r="E23" s="371"/>
      <c r="F23" s="371"/>
      <c r="G23" s="451">
        <f t="shared" si="0"/>
      </c>
      <c r="H23" s="456"/>
      <c r="I23" s="457"/>
      <c r="J23" s="341"/>
      <c r="K23" s="341"/>
      <c r="L23" s="385" t="s">
        <v>196</v>
      </c>
      <c r="M23" s="386" t="s">
        <v>202</v>
      </c>
      <c r="N23" s="387"/>
      <c r="O23" s="388">
        <f>O21+O22</f>
        <v>0</v>
      </c>
      <c r="P23" s="389" t="e">
        <f>O23/O16</f>
        <v>#DIV/0!</v>
      </c>
      <c r="Q23" s="343"/>
    </row>
    <row r="24" spans="1:17" ht="16.5" thickTop="1">
      <c r="A24" s="356"/>
      <c r="B24" s="357"/>
      <c r="C24" s="369"/>
      <c r="D24" s="370"/>
      <c r="E24" s="371"/>
      <c r="F24" s="371"/>
      <c r="G24" s="451">
        <f t="shared" si="0"/>
      </c>
      <c r="H24" s="456"/>
      <c r="I24" s="457"/>
      <c r="J24" s="341"/>
      <c r="K24" s="341"/>
      <c r="L24" s="341"/>
      <c r="M24" s="341"/>
      <c r="N24" s="341"/>
      <c r="O24" s="341"/>
      <c r="P24" s="341"/>
      <c r="Q24" s="343"/>
    </row>
    <row r="25" spans="1:17" ht="15.75">
      <c r="A25" s="356"/>
      <c r="B25" s="357"/>
      <c r="C25" s="390"/>
      <c r="D25" s="370"/>
      <c r="E25" s="371"/>
      <c r="F25" s="371"/>
      <c r="G25" s="451">
        <f t="shared" si="0"/>
      </c>
      <c r="H25" s="456"/>
      <c r="I25" s="457"/>
      <c r="J25" s="341"/>
      <c r="K25" s="341"/>
      <c r="L25" s="341"/>
      <c r="M25" s="341"/>
      <c r="N25" s="341"/>
      <c r="O25" s="341"/>
      <c r="P25" s="341"/>
      <c r="Q25" s="343"/>
    </row>
    <row r="26" spans="1:17" ht="7.5" customHeight="1" thickBot="1">
      <c r="A26" s="356"/>
      <c r="B26" s="357"/>
      <c r="C26" s="391"/>
      <c r="D26" s="392"/>
      <c r="E26" s="393"/>
      <c r="F26" s="393"/>
      <c r="G26" s="458">
        <f>IF(E26&gt;0,(E26+F26+#REF!)/60*D26,IF(F26&gt;0,(E26+F26+#REF!)/60*D26,""))</f>
      </c>
      <c r="H26" s="459"/>
      <c r="I26" s="460"/>
      <c r="J26" s="341"/>
      <c r="K26" s="341"/>
      <c r="L26" s="341"/>
      <c r="M26" s="341"/>
      <c r="N26" s="341"/>
      <c r="O26" s="341"/>
      <c r="P26" s="341"/>
      <c r="Q26" s="343"/>
    </row>
    <row r="27" spans="1:17" ht="13.5" customHeight="1" thickBot="1">
      <c r="A27" s="356"/>
      <c r="B27" s="357"/>
      <c r="C27" s="394" t="s">
        <v>203</v>
      </c>
      <c r="D27" s="395" t="s">
        <v>204</v>
      </c>
      <c r="E27" s="396" t="s">
        <v>205</v>
      </c>
      <c r="F27" s="396" t="s">
        <v>205</v>
      </c>
      <c r="G27" s="396" t="s">
        <v>206</v>
      </c>
      <c r="H27" s="461" t="s">
        <v>207</v>
      </c>
      <c r="I27" s="462"/>
      <c r="J27" s="397"/>
      <c r="K27" s="341"/>
      <c r="L27" s="341"/>
      <c r="M27" s="341"/>
      <c r="N27" s="341"/>
      <c r="O27" s="341"/>
      <c r="P27" s="341"/>
      <c r="Q27" s="343"/>
    </row>
    <row r="28" spans="1:17" ht="15" customHeight="1" thickBot="1">
      <c r="A28" s="356"/>
      <c r="B28" s="357"/>
      <c r="C28" s="398"/>
      <c r="D28" s="399"/>
      <c r="E28" s="399"/>
      <c r="F28" s="362"/>
      <c r="G28" s="400" t="s">
        <v>80</v>
      </c>
      <c r="H28" s="454" t="s">
        <v>80</v>
      </c>
      <c r="I28" s="455"/>
      <c r="J28" s="401"/>
      <c r="K28" s="341"/>
      <c r="L28" s="341"/>
      <c r="M28" s="341"/>
      <c r="N28" s="341"/>
      <c r="O28" s="341"/>
      <c r="P28" s="341"/>
      <c r="Q28" s="343"/>
    </row>
    <row r="29" spans="1:17" ht="15.75">
      <c r="A29" s="356"/>
      <c r="B29" s="357"/>
      <c r="C29" s="402"/>
      <c r="D29" s="403"/>
      <c r="E29" s="404"/>
      <c r="F29" s="405"/>
      <c r="G29" s="406">
        <f aca="true" t="shared" si="1" ref="G29:G37">IF(J29="R",0,(E29+F29)*D29)</f>
        <v>0</v>
      </c>
      <c r="H29" s="450">
        <f aca="true" t="shared" si="2" ref="H29:H37">IF(J29="P",0,((E29+F29)*D29))</f>
        <v>0</v>
      </c>
      <c r="I29" s="451"/>
      <c r="J29" s="408" t="s">
        <v>208</v>
      </c>
      <c r="K29" s="341"/>
      <c r="L29" s="341"/>
      <c r="M29" s="341"/>
      <c r="N29" s="341"/>
      <c r="O29" s="341"/>
      <c r="P29" s="341"/>
      <c r="Q29" s="343"/>
    </row>
    <row r="30" spans="1:17" ht="15.75">
      <c r="A30" s="356"/>
      <c r="B30" s="357"/>
      <c r="C30" s="409"/>
      <c r="D30" s="410"/>
      <c r="E30" s="411"/>
      <c r="F30" s="411"/>
      <c r="G30" s="407">
        <f t="shared" si="1"/>
        <v>0</v>
      </c>
      <c r="H30" s="450">
        <f t="shared" si="2"/>
        <v>0</v>
      </c>
      <c r="I30" s="451"/>
      <c r="J30" s="412" t="s">
        <v>208</v>
      </c>
      <c r="K30" s="341"/>
      <c r="L30" s="341"/>
      <c r="M30" s="341"/>
      <c r="N30" s="341"/>
      <c r="O30" s="341"/>
      <c r="P30" s="341"/>
      <c r="Q30" s="343"/>
    </row>
    <row r="31" spans="1:17" ht="15.75">
      <c r="A31" s="356"/>
      <c r="B31" s="357"/>
      <c r="C31" s="409"/>
      <c r="D31" s="410"/>
      <c r="E31" s="411"/>
      <c r="F31" s="411"/>
      <c r="G31" s="407">
        <f t="shared" si="1"/>
        <v>0</v>
      </c>
      <c r="H31" s="450">
        <f t="shared" si="2"/>
        <v>0</v>
      </c>
      <c r="I31" s="451"/>
      <c r="J31" s="412" t="s">
        <v>208</v>
      </c>
      <c r="K31" s="341"/>
      <c r="L31" s="341"/>
      <c r="M31" s="341"/>
      <c r="N31" s="341"/>
      <c r="O31" s="341"/>
      <c r="P31" s="341"/>
      <c r="Q31" s="343"/>
    </row>
    <row r="32" spans="1:17" ht="15.75">
      <c r="A32" s="356"/>
      <c r="B32" s="357"/>
      <c r="C32" s="409"/>
      <c r="D32" s="410"/>
      <c r="E32" s="411"/>
      <c r="F32" s="411"/>
      <c r="G32" s="407">
        <f t="shared" si="1"/>
        <v>0</v>
      </c>
      <c r="H32" s="450">
        <f t="shared" si="2"/>
        <v>0</v>
      </c>
      <c r="I32" s="451"/>
      <c r="J32" s="413" t="s">
        <v>208</v>
      </c>
      <c r="K32" s="341"/>
      <c r="L32" s="341"/>
      <c r="M32" s="341"/>
      <c r="N32" s="341"/>
      <c r="O32" s="341"/>
      <c r="P32" s="341"/>
      <c r="Q32" s="343"/>
    </row>
    <row r="33" spans="1:17" ht="15.75">
      <c r="A33" s="356"/>
      <c r="B33" s="357"/>
      <c r="C33" s="409"/>
      <c r="D33" s="410"/>
      <c r="E33" s="411"/>
      <c r="F33" s="411"/>
      <c r="G33" s="407">
        <f t="shared" si="1"/>
        <v>0</v>
      </c>
      <c r="H33" s="450">
        <f t="shared" si="2"/>
        <v>0</v>
      </c>
      <c r="I33" s="451"/>
      <c r="J33" s="413" t="s">
        <v>208</v>
      </c>
      <c r="K33" s="341"/>
      <c r="L33" s="341"/>
      <c r="M33" s="341"/>
      <c r="N33" s="341"/>
      <c r="O33" s="341"/>
      <c r="P33" s="341"/>
      <c r="Q33" s="343"/>
    </row>
    <row r="34" spans="1:17" ht="15.75">
      <c r="A34" s="356"/>
      <c r="B34" s="357"/>
      <c r="C34" s="414"/>
      <c r="D34" s="415"/>
      <c r="E34" s="411"/>
      <c r="F34" s="416"/>
      <c r="G34" s="407">
        <f t="shared" si="1"/>
        <v>0</v>
      </c>
      <c r="H34" s="450">
        <f t="shared" si="2"/>
        <v>0</v>
      </c>
      <c r="I34" s="451"/>
      <c r="J34" s="413" t="s">
        <v>208</v>
      </c>
      <c r="K34" s="341"/>
      <c r="L34" s="341"/>
      <c r="M34" s="341"/>
      <c r="N34" s="341"/>
      <c r="O34" s="341"/>
      <c r="P34" s="341"/>
      <c r="Q34" s="343"/>
    </row>
    <row r="35" spans="1:17" ht="15.75">
      <c r="A35" s="356"/>
      <c r="B35" s="357"/>
      <c r="C35" s="417"/>
      <c r="D35" s="418"/>
      <c r="E35" s="419"/>
      <c r="F35" s="416"/>
      <c r="G35" s="407">
        <f t="shared" si="1"/>
        <v>0</v>
      </c>
      <c r="H35" s="450">
        <f t="shared" si="2"/>
        <v>0</v>
      </c>
      <c r="I35" s="451"/>
      <c r="J35" s="413" t="s">
        <v>208</v>
      </c>
      <c r="K35" s="341"/>
      <c r="L35" s="341"/>
      <c r="M35" s="341"/>
      <c r="N35" s="341"/>
      <c r="O35" s="341"/>
      <c r="P35" s="341"/>
      <c r="Q35" s="343"/>
    </row>
    <row r="36" spans="1:17" ht="15" customHeight="1">
      <c r="A36" s="356"/>
      <c r="B36" s="357"/>
      <c r="C36" s="417"/>
      <c r="D36" s="418"/>
      <c r="E36" s="419"/>
      <c r="F36" s="416"/>
      <c r="G36" s="407">
        <f t="shared" si="1"/>
        <v>0</v>
      </c>
      <c r="H36" s="450">
        <f t="shared" si="2"/>
        <v>0</v>
      </c>
      <c r="I36" s="451"/>
      <c r="J36" s="413" t="s">
        <v>208</v>
      </c>
      <c r="K36" s="341"/>
      <c r="L36" s="341"/>
      <c r="M36" s="341"/>
      <c r="N36" s="341"/>
      <c r="O36" s="341"/>
      <c r="P36" s="341"/>
      <c r="Q36" s="343"/>
    </row>
    <row r="37" spans="1:17" ht="15" customHeight="1">
      <c r="A37" s="356"/>
      <c r="B37" s="357"/>
      <c r="C37" s="420"/>
      <c r="D37" s="418"/>
      <c r="E37" s="419"/>
      <c r="F37" s="416"/>
      <c r="G37" s="407">
        <f t="shared" si="1"/>
        <v>0</v>
      </c>
      <c r="H37" s="450">
        <f t="shared" si="2"/>
        <v>0</v>
      </c>
      <c r="I37" s="451"/>
      <c r="J37" s="413" t="s">
        <v>208</v>
      </c>
      <c r="K37" s="341"/>
      <c r="L37" s="341"/>
      <c r="M37" s="341"/>
      <c r="N37" s="341"/>
      <c r="O37" s="341"/>
      <c r="P37" s="341"/>
      <c r="Q37" s="343"/>
    </row>
    <row r="38" spans="1:17" ht="9.75" customHeight="1" thickBot="1">
      <c r="A38" s="356"/>
      <c r="B38" s="357"/>
      <c r="C38" s="421"/>
      <c r="D38" s="422"/>
      <c r="E38" s="423"/>
      <c r="F38" s="424"/>
      <c r="G38" s="424"/>
      <c r="H38" s="452"/>
      <c r="I38" s="453"/>
      <c r="J38" s="425"/>
      <c r="K38" s="341"/>
      <c r="L38" s="341"/>
      <c r="M38" s="341"/>
      <c r="N38" s="341"/>
      <c r="O38" s="341"/>
      <c r="P38" s="341"/>
      <c r="Q38" s="343"/>
    </row>
    <row r="39" spans="2:17" ht="6" customHeight="1" thickBot="1">
      <c r="B39" s="426"/>
      <c r="C39" s="427"/>
      <c r="D39" s="427"/>
      <c r="E39" s="427"/>
      <c r="F39" s="427"/>
      <c r="G39" s="427"/>
      <c r="H39" s="427"/>
      <c r="I39" s="427"/>
      <c r="J39" s="428"/>
      <c r="K39" s="428"/>
      <c r="L39" s="428"/>
      <c r="M39" s="428"/>
      <c r="N39" s="428"/>
      <c r="O39" s="428"/>
      <c r="P39" s="428"/>
      <c r="Q39" s="428"/>
    </row>
    <row r="40" ht="13.5" thickTop="1"/>
  </sheetData>
  <mergeCells count="47">
    <mergeCell ref="C3:E3"/>
    <mergeCell ref="F3:G3"/>
    <mergeCell ref="H3:I3"/>
    <mergeCell ref="K3:N3"/>
    <mergeCell ref="F4:G4"/>
    <mergeCell ref="H4:I4"/>
    <mergeCell ref="C5:E10"/>
    <mergeCell ref="F5:G5"/>
    <mergeCell ref="H5:I5"/>
    <mergeCell ref="F8:G8"/>
    <mergeCell ref="H8:I8"/>
    <mergeCell ref="L5:M5"/>
    <mergeCell ref="L6:M6"/>
    <mergeCell ref="F7:G7"/>
    <mergeCell ref="H7:I7"/>
    <mergeCell ref="L8:M8"/>
    <mergeCell ref="L9:M9"/>
    <mergeCell ref="H10:I10"/>
    <mergeCell ref="L12:M12"/>
    <mergeCell ref="G13:I13"/>
    <mergeCell ref="L13:M13"/>
    <mergeCell ref="G14:I14"/>
    <mergeCell ref="G15:I15"/>
    <mergeCell ref="L15:O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H27:I27"/>
    <mergeCell ref="H28:I28"/>
    <mergeCell ref="H29:I29"/>
    <mergeCell ref="H30:I30"/>
    <mergeCell ref="H31:I31"/>
    <mergeCell ref="H36:I36"/>
    <mergeCell ref="H37:I37"/>
    <mergeCell ref="H38:I38"/>
    <mergeCell ref="H32:I32"/>
    <mergeCell ref="H33:I33"/>
    <mergeCell ref="H34:I34"/>
    <mergeCell ref="H35:I35"/>
  </mergeCells>
  <conditionalFormatting sqref="P23">
    <cfRule type="cellIs" priority="1" dxfId="0" operator="lessThan" stopIfTrue="1">
      <formula>-0.405</formula>
    </cfRule>
    <cfRule type="cellIs" priority="2" dxfId="1" operator="lessThan" stopIfTrue="1">
      <formula>0</formula>
    </cfRule>
  </conditionalFormatting>
  <dataValidations count="1">
    <dataValidation type="date" operator="greaterThan" allowBlank="1" showInputMessage="1" showErrorMessage="1" errorTitle="Date" error="Insira uma data após 1/1/1900." sqref="C26 C18:C24">
      <formula1>1</formula1>
    </dataValidation>
  </dataValidation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M. Fontes</dc:creator>
  <cp:keywords/>
  <dc:description/>
  <cp:lastModifiedBy>Bruno</cp:lastModifiedBy>
  <cp:lastPrinted>2006-11-16T17:27:04Z</cp:lastPrinted>
  <dcterms:created xsi:type="dcterms:W3CDTF">2006-01-24T11:36:23Z</dcterms:created>
  <dcterms:modified xsi:type="dcterms:W3CDTF">2010-05-31T15:27:51Z</dcterms:modified>
  <cp:category/>
  <cp:version/>
  <cp:contentType/>
  <cp:contentStatus/>
</cp:coreProperties>
</file>